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aglickso\Desktop\temp\transportation\"/>
    </mc:Choice>
  </mc:AlternateContent>
  <xr:revisionPtr revIDLastSave="0" documentId="13_ncr:1_{73736E7C-B914-4119-9A05-0CCFF9F6B965}" xr6:coauthVersionLast="45" xr6:coauthVersionMax="45" xr10:uidLastSave="{00000000-0000-0000-0000-000000000000}"/>
  <bookViews>
    <workbookView xWindow="-108" yWindow="-108" windowWidth="23256" windowHeight="12576" xr2:uid="{00000000-000D-0000-FFFF-FFFF00000000}"/>
  </bookViews>
  <sheets>
    <sheet name="Variables" sheetId="1" r:id="rId1"/>
    <sheet name="Value Lookup" sheetId="2" r:id="rId2"/>
    <sheet name="Tables" sheetId="3" r:id="rId3"/>
    <sheet name="Weights" sheetId="4" r:id="rId4"/>
    <sheet name="Frequencies" sheetId="5" r:id="rId5"/>
  </sheets>
  <definedNames>
    <definedName name="_xlnm._FilterDatabase" localSheetId="0" hidden="1">Variables!$A$1:$L$423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3" i="1" l="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F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9"/>
            <color rgb="FF000000"/>
            <rFont val="Calibri"/>
          </rPr>
          <t>HOUSEID {not displaying table with 869 unique values}</t>
        </r>
      </text>
    </comment>
    <comment ref="A6" authorId="0" shapeId="0" xr:uid="{00000000-0006-0000-0400-000002000000}">
      <text>
        <r>
          <rPr>
            <sz val="9"/>
            <color rgb="FF000000"/>
            <rFont val="Calibri"/>
          </rPr>
          <t>TDAYDAT2 {not displaying table with 236 unique values}</t>
        </r>
      </text>
    </comment>
    <comment ref="A865" authorId="0" shapeId="0" xr:uid="{00000000-0006-0000-0400-000003000000}">
      <text>
        <r>
          <rPr>
            <sz val="9"/>
            <color rgb="FF000000"/>
            <rFont val="Calibri"/>
          </rPr>
          <t>HBHTNRNT17 {not displaying table with 357 unique values}</t>
        </r>
      </text>
    </comment>
    <comment ref="A868" authorId="0" shapeId="0" xr:uid="{00000000-0006-0000-0400-000004000000}">
      <text>
        <r>
          <rPr>
            <sz val="9"/>
            <color rgb="FF000000"/>
            <rFont val="Calibri"/>
          </rPr>
          <t>HBPPOPDN17 {not displaying table with 363 unique values}</t>
        </r>
      </text>
    </comment>
    <comment ref="A871" authorId="0" shapeId="0" xr:uid="{00000000-0006-0000-0400-000005000000}">
      <text>
        <r>
          <rPr>
            <sz val="9"/>
            <color rgb="FF000000"/>
            <rFont val="Calibri"/>
          </rPr>
          <t>HBRESDN17 {not displaying table with 363 unique values}</t>
        </r>
      </text>
    </comment>
    <comment ref="A874" authorId="0" shapeId="0" xr:uid="{00000000-0006-0000-0400-000006000000}">
      <text>
        <r>
          <rPr>
            <sz val="9"/>
            <color rgb="FF000000"/>
            <rFont val="Calibri"/>
          </rPr>
          <t>HTEEMPDN17 {not displaying table with 208 unique values}</t>
        </r>
      </text>
    </comment>
    <comment ref="A877" authorId="0" shapeId="0" xr:uid="{00000000-0006-0000-0400-000007000000}">
      <text>
        <r>
          <rPr>
            <sz val="9"/>
            <color rgb="FF000000"/>
            <rFont val="Calibri"/>
          </rPr>
          <t>HTHTNRNT17 {not displaying table with 208 unique values}</t>
        </r>
      </text>
    </comment>
    <comment ref="A880" authorId="0" shapeId="0" xr:uid="{00000000-0006-0000-0400-000008000000}">
      <text>
        <r>
          <rPr>
            <sz val="9"/>
            <color rgb="FF000000"/>
            <rFont val="Calibri"/>
          </rPr>
          <t>HTPPOPDN17 {not displaying table with 208 unique values}</t>
        </r>
      </text>
    </comment>
    <comment ref="A883" authorId="0" shapeId="0" xr:uid="{00000000-0006-0000-0400-000009000000}">
      <text>
        <r>
          <rPr>
            <sz val="9"/>
            <color rgb="FF000000"/>
            <rFont val="Calibri"/>
          </rPr>
          <t>HTRESDN17 {not displaying table with 208 unique values}</t>
        </r>
      </text>
    </comment>
    <comment ref="A911" authorId="0" shapeId="0" xr:uid="{00000000-0006-0000-0400-00000A000000}">
      <text>
        <r>
          <rPr>
            <sz val="9"/>
            <color rgb="FF000000"/>
            <rFont val="Calibri"/>
          </rPr>
          <t>HOUSEID {not displaying table with 869 unique values}</t>
        </r>
      </text>
    </comment>
    <comment ref="A925" authorId="0" shapeId="0" xr:uid="{00000000-0006-0000-0400-00000B000000}">
      <text>
        <r>
          <rPr>
            <sz val="9"/>
            <color rgb="FF000000"/>
            <rFont val="Calibri"/>
          </rPr>
          <t>PERINDT2 {not displaying table with 320 unique values}</t>
        </r>
      </text>
    </comment>
    <comment ref="A1569" authorId="0" shapeId="0" xr:uid="{00000000-0006-0000-0400-00000C000000}">
      <text>
        <r>
          <rPr>
            <sz val="9"/>
            <color rgb="FF000000"/>
            <rFont val="Calibri"/>
          </rPr>
          <t>WRKTIME {not displaying table with 105 unique values}</t>
        </r>
      </text>
    </comment>
    <comment ref="A1870" authorId="0" shapeId="0" xr:uid="{00000000-0006-0000-0400-00000D000000}">
      <text>
        <r>
          <rPr>
            <sz val="9"/>
            <color rgb="FF000000"/>
            <rFont val="Calibri"/>
          </rPr>
          <t>YEARMILE {not displaying table with 129 unique values}</t>
        </r>
      </text>
    </comment>
    <comment ref="A2255" authorId="0" shapeId="0" xr:uid="{00000000-0006-0000-0400-00000E000000}">
      <text>
        <r>
          <rPr>
            <sz val="9"/>
            <color rgb="FF000000"/>
            <rFont val="Calibri"/>
          </rPr>
          <t>GCDWORK {not displaying table with 627 unique values}</t>
        </r>
      </text>
    </comment>
    <comment ref="A2326" authorId="0" shapeId="0" xr:uid="{00000000-0006-0000-0400-00000F000000}">
      <text>
        <r>
          <rPr>
            <sz val="9"/>
            <color rgb="FF000000"/>
            <rFont val="Calibri"/>
          </rPr>
          <t>DISTTOWK17 {not displaying table with 657 unique values}</t>
        </r>
      </text>
    </comment>
    <comment ref="A2331" authorId="0" shapeId="0" xr:uid="{00000000-0006-0000-0400-000010000000}">
      <text>
        <r>
          <rPr>
            <sz val="9"/>
            <color rgb="FF000000"/>
            <rFont val="Calibri"/>
          </rPr>
          <t>DISTTOSC17 {not displaying table with 152 unique values}</t>
        </r>
      </text>
    </comment>
    <comment ref="A2468" authorId="0" shapeId="0" xr:uid="{00000000-0006-0000-0400-000011000000}">
      <text>
        <r>
          <rPr>
            <sz val="9"/>
            <color rgb="FF000000"/>
            <rFont val="Calibri"/>
          </rPr>
          <t>HOUSEID {not displaying table with 829 unique values}</t>
        </r>
      </text>
    </comment>
    <comment ref="A2675" authorId="0" shapeId="0" xr:uid="{00000000-0006-0000-0400-000012000000}">
      <text>
        <r>
          <rPr>
            <sz val="9"/>
            <color rgb="FF000000"/>
            <rFont val="Calibri"/>
          </rPr>
          <t>MODEL {not displaying table with 359 unique values}</t>
        </r>
      </text>
    </comment>
    <comment ref="A2729" authorId="0" shapeId="0" xr:uid="{00000000-0006-0000-0400-000013000000}">
      <text>
        <r>
          <rPr>
            <sz val="9"/>
            <color rgb="FF000000"/>
            <rFont val="Calibri"/>
          </rPr>
          <t>OD_READ {not displaying table with 1,139 unique values}</t>
        </r>
      </text>
    </comment>
    <comment ref="A2735" authorId="0" shapeId="0" xr:uid="{00000000-0006-0000-0400-000014000000}">
      <text>
        <r>
          <rPr>
            <sz val="9"/>
            <color rgb="FF000000"/>
            <rFont val="Calibri"/>
          </rPr>
          <t>OD_DATE {not displaying table with 306 unique values}</t>
        </r>
      </text>
    </comment>
    <comment ref="A2829" authorId="0" shapeId="0" xr:uid="{00000000-0006-0000-0400-000015000000}">
      <text>
        <r>
          <rPr>
            <sz val="9"/>
            <color rgb="FF000000"/>
            <rFont val="Calibri"/>
          </rPr>
          <t>VEHMILES {not displaying table with 136 unique values}</t>
        </r>
      </text>
    </comment>
    <comment ref="A2871" authorId="0" shapeId="0" xr:uid="{00000000-0006-0000-0400-000016000000}">
      <text>
        <r>
          <rPr>
            <sz val="9"/>
            <color rgb="FF000000"/>
            <rFont val="Calibri"/>
          </rPr>
          <t>ESTMILES {not displaying table with 103 unique values}</t>
        </r>
      </text>
    </comment>
    <comment ref="A2893" authorId="0" shapeId="0" xr:uid="{00000000-0006-0000-0400-000017000000}">
      <text>
        <r>
          <rPr>
            <sz val="9"/>
            <color rgb="FF000000"/>
            <rFont val="Calibri"/>
          </rPr>
          <t>ANNMILES {not displaying table with 228 unique values}</t>
        </r>
      </text>
    </comment>
    <comment ref="A2904" authorId="0" shapeId="0" xr:uid="{00000000-0006-0000-0400-000018000000}">
      <text>
        <r>
          <rPr>
            <sz val="9"/>
            <color rgb="FF000000"/>
            <rFont val="Calibri"/>
          </rPr>
          <t>HOUSEID {not displaying table with 795 unique values}</t>
        </r>
      </text>
    </comment>
    <comment ref="A3009" authorId="0" shapeId="0" xr:uid="{00000000-0006-0000-0400-000019000000}">
      <text>
        <r>
          <rPr>
            <sz val="9"/>
            <color rgb="FF000000"/>
            <rFont val="Calibri"/>
          </rPr>
          <t>STRTTIME {not displaying table with 800 unique values}</t>
        </r>
      </text>
    </comment>
    <comment ref="A3012" authorId="0" shapeId="0" xr:uid="{00000000-0006-0000-0400-00001A000000}">
      <text>
        <r>
          <rPr>
            <sz val="9"/>
            <color rgb="FF000000"/>
            <rFont val="Calibri"/>
          </rPr>
          <t>ENDTIME {not displaying table with 876 unique values}</t>
        </r>
      </text>
    </comment>
    <comment ref="A3015" authorId="0" shapeId="0" xr:uid="{00000000-0006-0000-0400-00001B000000}">
      <text>
        <r>
          <rPr>
            <sz val="9"/>
            <color rgb="FF000000"/>
            <rFont val="Calibri"/>
          </rPr>
          <t>STRTTIME17 {not displaying table with 5,031 unique values}</t>
        </r>
      </text>
    </comment>
    <comment ref="A3018" authorId="0" shapeId="0" xr:uid="{00000000-0006-0000-0400-00001C000000}">
      <text>
        <r>
          <rPr>
            <sz val="9"/>
            <color rgb="FF000000"/>
            <rFont val="Calibri"/>
          </rPr>
          <t>ENDTIME17 {not displaying table with 5,095 unique values}</t>
        </r>
      </text>
    </comment>
    <comment ref="A3187" authorId="0" shapeId="0" xr:uid="{00000000-0006-0000-0400-00001D000000}">
      <text>
        <r>
          <rPr>
            <sz val="9"/>
            <color rgb="FF000000"/>
            <rFont val="Calibri"/>
          </rPr>
          <t>TRVLCMIN {not displaying table with 111 unique values}</t>
        </r>
      </text>
    </comment>
    <comment ref="A3191" authorId="0" shapeId="0" xr:uid="{00000000-0006-0000-0400-00001E000000}">
      <text>
        <r>
          <rPr>
            <sz val="9"/>
            <color rgb="FF000000"/>
            <rFont val="Calibri"/>
          </rPr>
          <t>TRPMILES17 {not displaying table with 4,000 unique values}</t>
        </r>
      </text>
    </comment>
    <comment ref="A3194" authorId="0" shapeId="0" xr:uid="{00000000-0006-0000-0400-00001F000000}">
      <text>
        <r>
          <rPr>
            <sz val="9"/>
            <color rgb="FF000000"/>
            <rFont val="Calibri"/>
          </rPr>
          <t>TRPMILES {not displaying table with 4,023 unique values}</t>
        </r>
      </text>
    </comment>
    <comment ref="A3572" authorId="0" shapeId="0" xr:uid="{00000000-0006-0000-0400-000020000000}">
      <text>
        <r>
          <rPr>
            <sz val="9"/>
            <color rgb="FF000000"/>
            <rFont val="Calibri"/>
          </rPr>
          <t>DWELTIME {not displaying table with 485 unique values}</t>
        </r>
      </text>
    </comment>
    <comment ref="A3581" authorId="0" shapeId="0" xr:uid="{00000000-0006-0000-0400-000021000000}">
      <text>
        <r>
          <rPr>
            <sz val="9"/>
            <color rgb="FF000000"/>
            <rFont val="Calibri"/>
          </rPr>
          <t>VMT_MILE {not displaying table with 3,558 unique values}</t>
        </r>
      </text>
    </comment>
    <comment ref="A3585" authorId="0" shapeId="0" xr:uid="{00000000-0006-0000-0400-000022000000}">
      <text>
        <r>
          <rPr>
            <sz val="9"/>
            <color rgb="FF000000"/>
            <rFont val="Calibri"/>
          </rPr>
          <t>VMT_MILE17 {not displaying table with 3,553 unique values}</t>
        </r>
      </text>
    </comment>
    <comment ref="A3904" authorId="0" shapeId="0" xr:uid="{00000000-0006-0000-0400-000023000000}">
      <text>
        <r>
          <rPr>
            <sz val="9"/>
            <color rgb="FF000000"/>
            <rFont val="Calibri"/>
          </rPr>
          <t>TDCASEID {not displaying table with 6,261 unique values}</t>
        </r>
      </text>
    </comment>
    <comment ref="A3908" authorId="0" shapeId="0" xr:uid="{00000000-0006-0000-0400-000024000000}">
      <text>
        <r>
          <rPr>
            <sz val="9"/>
            <color rgb="FF000000"/>
            <rFont val="Calibri"/>
          </rPr>
          <t>HOUSEID {not displaying table with 869 unique values}</t>
        </r>
      </text>
    </comment>
    <comment ref="A3966" authorId="0" shapeId="0" xr:uid="{00000000-0006-0000-0400-000025000000}">
      <text>
        <r>
          <rPr>
            <sz val="9"/>
            <color rgb="FF000000"/>
            <rFont val="Calibri"/>
          </rPr>
          <t>LONGITUDE {not displaying table with 3,445 unique values}</t>
        </r>
      </text>
    </comment>
    <comment ref="A3969" authorId="0" shapeId="0" xr:uid="{00000000-0006-0000-0400-000026000000}">
      <text>
        <r>
          <rPr>
            <sz val="9"/>
            <color rgb="FF000000"/>
            <rFont val="Calibri"/>
          </rPr>
          <t>LATITUDE {not displaying table with 3,443 unique values}</t>
        </r>
      </text>
    </comment>
    <comment ref="A3972" authorId="0" shapeId="0" xr:uid="{00000000-0006-0000-0400-000027000000}">
      <text>
        <r>
          <rPr>
            <sz val="9"/>
            <color rgb="FF000000"/>
            <rFont val="Calibri"/>
          </rPr>
          <t>LOCNAME {not displaying table with 2,011 unique values}</t>
        </r>
      </text>
    </comment>
    <comment ref="A3975" authorId="0" shapeId="0" xr:uid="{00000000-0006-0000-0400-000028000000}">
      <text>
        <r>
          <rPr>
            <sz val="9"/>
            <color rgb="FF000000"/>
            <rFont val="Calibri"/>
          </rPr>
          <t>STREETADDR {not displaying table with 3,236 unique values}</t>
        </r>
      </text>
    </comment>
    <comment ref="A3978" authorId="0" shapeId="0" xr:uid="{00000000-0006-0000-0400-000029000000}">
      <text>
        <r>
          <rPr>
            <sz val="9"/>
            <color rgb="FF000000"/>
            <rFont val="Calibri"/>
          </rPr>
          <t>CITY {not displaying table with 132 unique values}</t>
        </r>
      </text>
    </comment>
    <comment ref="A4011" authorId="0" shapeId="0" xr:uid="{00000000-0006-0000-0400-00002A000000}">
      <text>
        <r>
          <rPr>
            <sz val="9"/>
            <color rgb="FF000000"/>
            <rFont val="Calibri"/>
          </rPr>
          <t>ZIP {not displaying table with 195 unique values}</t>
        </r>
      </text>
    </comment>
    <comment ref="A4020" authorId="0" shapeId="0" xr:uid="{00000000-0006-0000-0400-00002B000000}">
      <text>
        <r>
          <rPr>
            <sz val="9"/>
            <color rgb="FF000000"/>
            <rFont val="Calibri"/>
          </rPr>
          <t>FULLADDR {not displaying table with 3,248 unique values}</t>
        </r>
      </text>
    </comment>
    <comment ref="A4023" authorId="0" shapeId="0" xr:uid="{00000000-0006-0000-0400-00002C000000}">
      <text>
        <r>
          <rPr>
            <sz val="9"/>
            <color rgb="FF000000"/>
            <rFont val="Calibri"/>
          </rPr>
          <t>FULLFIPS {not displaying table with 689 unique values}</t>
        </r>
      </text>
    </comment>
    <comment ref="A4124" authorId="0" shapeId="0" xr:uid="{00000000-0006-0000-0400-00002D000000}">
      <text>
        <r>
          <rPr>
            <sz val="9"/>
            <color rgb="FF000000"/>
            <rFont val="Calibri"/>
          </rPr>
          <t>TRACTFIPS {not displaying table with 377 unique values}</t>
        </r>
      </text>
    </comment>
  </commentList>
</comments>
</file>

<file path=xl/sharedStrings.xml><?xml version="1.0" encoding="utf-8"?>
<sst xmlns="http://schemas.openxmlformats.org/spreadsheetml/2006/main" count="32941" uniqueCount="6737">
  <si>
    <t>NAME</t>
  </si>
  <si>
    <t>LABEL</t>
  </si>
  <si>
    <t>QUESTION TEXT</t>
  </si>
  <si>
    <t>DATA TYPE</t>
  </si>
  <si>
    <t>VALUES</t>
  </si>
  <si>
    <t>FREQUENCIES</t>
  </si>
  <si>
    <t>TABLE:
HOUSEHOLD</t>
  </si>
  <si>
    <t>TABLE:
PERSON</t>
  </si>
  <si>
    <t>TABLE:
VEHICLE</t>
  </si>
  <si>
    <t>TABLE:
TRIP</t>
  </si>
  <si>
    <t>TABLE:
LOCATION</t>
  </si>
  <si>
    <t>ADDON SPONSOR(S)</t>
  </si>
  <si>
    <t>AGERANGE</t>
  </si>
  <si>
    <t>Age range</t>
  </si>
  <si>
    <t>[$NEXT_HHMEM_AAGE]Because we want to make sure to ask questions that are age appropriate, in which age group [$DO_YOU2] belong...</t>
  </si>
  <si>
    <t>TEXT</t>
  </si>
  <si>
    <t>AIRPORT</t>
  </si>
  <si>
    <t>Influence Choice of Airport</t>
  </si>
  <si>
    <t>Which ONE of the following is the biggest factor that influences your choice of airport?</t>
  </si>
  <si>
    <t>Iowa Northland Regional Council of Governments
Indian Nations Council of Governments</t>
  </si>
  <si>
    <t>ALT_1</t>
  </si>
  <si>
    <t>Alternative Mode of Transportation: Public Transportation</t>
  </si>
  <si>
    <t>If you were unable to use your household vehicle(s), which of the following options would be available to you to get you from place to place? 
Please SELECT ALL that apply.</t>
  </si>
  <si>
    <t>ALT_2</t>
  </si>
  <si>
    <t>Alternative Mode of Transportation: Passenger to Friend or Family Member</t>
  </si>
  <si>
    <t>ALT_3</t>
  </si>
  <si>
    <t>Alternative Mode of Transportation: Rental Car</t>
  </si>
  <si>
    <t>ALT_4</t>
  </si>
  <si>
    <t>Alternative Mode of Transportation: Bicycle</t>
  </si>
  <si>
    <t>ALT_5</t>
  </si>
  <si>
    <t>Alternative Mode of Transportation: Walk</t>
  </si>
  <si>
    <t>ALT_6</t>
  </si>
  <si>
    <t>Alternative Mode of Transportation: Taxi</t>
  </si>
  <si>
    <t>ALT_7</t>
  </si>
  <si>
    <t>Alternative Mode of Transportation: None</t>
  </si>
  <si>
    <t>ALT_DK</t>
  </si>
  <si>
    <t>Alternative Mode of Transportation: Does Not Know Answer</t>
  </si>
  <si>
    <t>ALT_O</t>
  </si>
  <si>
    <t>Alternative Mode of Transportation (Other)</t>
  </si>
  <si>
    <t>ALT_RF</t>
  </si>
  <si>
    <t>Alternative Mode of Transportation: Refused to Answer</t>
  </si>
  <si>
    <t>ALT_SE</t>
  </si>
  <si>
    <t>Alternative Mode of Transportation: Something Else</t>
  </si>
  <si>
    <t>ANNMILES</t>
  </si>
  <si>
    <t>Self-reported annualized mile estimate</t>
  </si>
  <si>
    <t>NUMERIC</t>
  </si>
  <si>
    <t>AWAYHOME</t>
  </si>
  <si>
    <t>Reason respondent did not start their travel day with a home-based activity</t>
  </si>
  <si>
    <t>AWAYHOME17</t>
  </si>
  <si>
    <t>Reason respondent was not at their home location at the start of their travel day</t>
  </si>
  <si>
    <t>BIKE</t>
  </si>
  <si>
    <t>Frequency of Bicycle Use for Travel</t>
  </si>
  <si>
    <t>Bike</t>
  </si>
  <si>
    <t>BIKE2SAVE</t>
  </si>
  <si>
    <t>Bicycle to Reduce Financial Burden of Travel</t>
  </si>
  <si>
    <t>I bike to places to save money.</t>
  </si>
  <si>
    <t>BIKE4EX</t>
  </si>
  <si>
    <t>Count of Bike Trips for Exercise</t>
  </si>
  <si>
    <t>How many of these bicycle rides were strictly to exercise?</t>
  </si>
  <si>
    <t>BIKE_D</t>
  </si>
  <si>
    <t xml:space="preserve">Reason for Not Biking More: No nearby paths or trails </t>
  </si>
  <si>
    <t>Which of the following keeps you from biking more?
Please SELECT ALL that apply.</t>
  </si>
  <si>
    <t>BIKE_DK</t>
  </si>
  <si>
    <t>Reason for Not Biking More: Does not know answer</t>
  </si>
  <si>
    <t>BIKE_F</t>
  </si>
  <si>
    <t>Reason for Not Biking More: No sidewalks or sidewalks are in poor condition</t>
  </si>
  <si>
    <t>BIKE_G</t>
  </si>
  <si>
    <t xml:space="preserve">Reason for Not Biking More: Street crossings are unsafe </t>
  </si>
  <si>
    <t>BIKE_K</t>
  </si>
  <si>
    <t>Reason for Not Biking More: Heavy traffic with too many cars</t>
  </si>
  <si>
    <t>BIKE_P</t>
  </si>
  <si>
    <t>Reason for Not Biking More: Not enough lighting at night</t>
  </si>
  <si>
    <t>BIKE_R</t>
  </si>
  <si>
    <t>Reason for Not Biking More: No nearby parks</t>
  </si>
  <si>
    <t>BIKE_RF</t>
  </si>
  <si>
    <t>Reason for Not Biking More: Refused to answer</t>
  </si>
  <si>
    <t>BIKESHARE</t>
  </si>
  <si>
    <t>Count of Bike Share Program Usage</t>
  </si>
  <si>
    <t>Now we want you to think about the past 30 days.  In the past 30 days, how many times did [$YOU1] use a bike share program (e.g. Bikeshare, Zagster, or CycleHop)?</t>
  </si>
  <si>
    <t>BIKE_Z</t>
  </si>
  <si>
    <t>Reason for Not Biking More: None of the above</t>
  </si>
  <si>
    <t>BLOCKFIPS</t>
  </si>
  <si>
    <t>Census Block FIPS Code (2014 TIGER/Line)</t>
  </si>
  <si>
    <t>BORNINUS</t>
  </si>
  <si>
    <t>Born in United States</t>
  </si>
  <si>
    <t xml:space="preserve">[$WERE_YOU_CAP] born in the United States? </t>
  </si>
  <si>
    <t>BUS</t>
  </si>
  <si>
    <t>Frequency of Bus Use for Travel</t>
  </si>
  <si>
    <t>Bus</t>
  </si>
  <si>
    <t>CAR</t>
  </si>
  <si>
    <t>Frequency of Personal Vehicle Use for Travel</t>
  </si>
  <si>
    <t>Personal Vehicle (Car/Truck/SUV)</t>
  </si>
  <si>
    <t>CARRODE</t>
  </si>
  <si>
    <t>Count of People in Vehicle to Work</t>
  </si>
  <si>
    <t>How many people, including [$YOURSELF2], usually rode to work in the vehicle last week?</t>
  </si>
  <si>
    <t>CARSHARE</t>
  </si>
  <si>
    <t>Count of Care Share Program Usage</t>
  </si>
  <si>
    <t>In the past 30 days, how many times did [$YOU1] use a car sharing service where a car can be rented by the hour (e.g. Zipcar or Car2Go)?</t>
  </si>
  <si>
    <t>CBSA</t>
  </si>
  <si>
    <t>OMB Core Based Statistical Area</t>
  </si>
  <si>
    <t>CDIVMSAR</t>
  </si>
  <si>
    <t>Grouping of household by combination of census division, MSA status, and presence of a subway system when population greater than 1 million</t>
  </si>
  <si>
    <t>CENSUS_D</t>
  </si>
  <si>
    <t>2010 Census division classification for the respondent's home address</t>
  </si>
  <si>
    <t>CENSUS_R</t>
  </si>
  <si>
    <t>Census region classification for home address</t>
  </si>
  <si>
    <t>CITY</t>
  </si>
  <si>
    <t>City</t>
  </si>
  <si>
    <t>CNTTDHH</t>
  </si>
  <si>
    <t>Count of household trips on travel day</t>
  </si>
  <si>
    <t>CNTTDTR</t>
  </si>
  <si>
    <t>Count of person trips on travel day</t>
  </si>
  <si>
    <t>CNTYFIPS</t>
  </si>
  <si>
    <t>Census County FIPS Code (2014 TIGER/Line)</t>
  </si>
  <si>
    <t>CONDDK</t>
  </si>
  <si>
    <t>Does Not Know if Medical Condition Results in Reduced Day-to-Day Travel</t>
  </si>
  <si>
    <t>[$MEDCOND_RECALL]
Please SELECT ALL that apply.</t>
  </si>
  <si>
    <t>CONDNIGH</t>
  </si>
  <si>
    <t>Medical Condition Results in Limiting Driving to Daytime</t>
  </si>
  <si>
    <t>CONDNONE</t>
  </si>
  <si>
    <t>No Medical Condition Results in Reduced Day-to-Day Travel</t>
  </si>
  <si>
    <t>CONDPUB</t>
  </si>
  <si>
    <t>Medical Condition Results in Using Bus or Subway Less Frequently</t>
  </si>
  <si>
    <t>CONDRF</t>
  </si>
  <si>
    <t>Refused to Answer if Medical Condition Results in Reduced Day-to-Day Travel</t>
  </si>
  <si>
    <t>CONDRIDE</t>
  </si>
  <si>
    <t>Medical Condition Results in Asking Others for Rides</t>
  </si>
  <si>
    <t>CONDRIVE</t>
  </si>
  <si>
    <t>Medical Condition Results in Giving up Driving</t>
  </si>
  <si>
    <t>CONDSPEC</t>
  </si>
  <si>
    <t>Medical Condition Results in Using Special Transportation Services</t>
  </si>
  <si>
    <t>CONDTAX</t>
  </si>
  <si>
    <t>Medical Condition Results in Using a Reduced Fare Taxi</t>
  </si>
  <si>
    <t>CONDTRAV</t>
  </si>
  <si>
    <t>Medical Condition Results in Reduced Day-to-Day Travel</t>
  </si>
  <si>
    <t>COUNTRY</t>
  </si>
  <si>
    <t>Country</t>
  </si>
  <si>
    <t>CSA</t>
  </si>
  <si>
    <t>OMB Combined Statistical Area</t>
  </si>
  <si>
    <t>DELIVER</t>
  </si>
  <si>
    <t>Count of Times Purchased Online for Delivery in Last 30 Days</t>
  </si>
  <si>
    <t>Thank you for reporting [$YOUR2] travel details! Now we have a few more questions to help us understand why [$YOU_TRAVEL] the way [$YOU_THEY] do.
In the past 30 days, how many times did [$YOU1] purchase something online and have it delivered?</t>
  </si>
  <si>
    <t>DIARY</t>
  </si>
  <si>
    <t>Travel Diary completion status</t>
  </si>
  <si>
    <t>DIARYCMP</t>
  </si>
  <si>
    <t>Person Completed Log</t>
  </si>
  <si>
    <t>Now we are going to ask you about each of the places [$YOU1] went during [$YOUR_THEIR] travel day.  It will help you to have [$YOUR_THEIR] completed travel log with you as you complete this part of the survey.
[$CPLOG_RECALL]</t>
  </si>
  <si>
    <t>DIARYHAV</t>
  </si>
  <si>
    <t>Person Had Log During Survey</t>
  </si>
  <si>
    <t>Do you have [$YOUR2] completed travel log to refer to as you report [$YOUR_THEIR] travel?</t>
  </si>
  <si>
    <t>DIFFDATE</t>
  </si>
  <si>
    <t>Number of Days Between Travel Date and Survey Completion Date</t>
  </si>
  <si>
    <t>DISTTOSC17</t>
  </si>
  <si>
    <t>Road network distance, in miles, between respondent's home location and school location, sourced using Google Distance Matrix API (https://maps.googleapis.com/maps/api/distancematrix/)</t>
  </si>
  <si>
    <t>DISTTOWK17</t>
  </si>
  <si>
    <t>Road network distance, in miles, between respondent's home location and work location, sourced using Google Distance Matrix API (https://maps.googleapis.com/maps/api/distancematrix/)</t>
  </si>
  <si>
    <t>DRIVER</t>
  </si>
  <si>
    <t>Driver status, derived</t>
  </si>
  <si>
    <t>DROP_PRK</t>
  </si>
  <si>
    <t>Parked or Dropped Off at Station</t>
  </si>
  <si>
    <t>Did [$YOU1] park at the [$BUS_TRAIN] station or [$WERE_U_THEY] dropped off?</t>
  </si>
  <si>
    <t>DRVR</t>
  </si>
  <si>
    <t>Driver status</t>
  </si>
  <si>
    <t>[$DO_YOU_CAP] drive?</t>
  </si>
  <si>
    <t>DRVRCNT</t>
  </si>
  <si>
    <t>Number of drivers in household</t>
  </si>
  <si>
    <t>DRVR_FLG</t>
  </si>
  <si>
    <t>Respondent drove on trip</t>
  </si>
  <si>
    <t>DWELTIME</t>
  </si>
  <si>
    <t>Time at destination</t>
  </si>
  <si>
    <t>EDUC</t>
  </si>
  <si>
    <t>Educational Attainment</t>
  </si>
  <si>
    <t>What is the highest grade or degree that [$YOU_HAVE] earned?</t>
  </si>
  <si>
    <t>ENDAMPM</t>
  </si>
  <si>
    <t>Trip End Time: AM/PM</t>
  </si>
  <si>
    <t>What time did [$YOU1] arrive here?
You left the previous place [$LOCNAME] at [$LOCDEPTIME]</t>
  </si>
  <si>
    <t>ENDHOUR</t>
  </si>
  <si>
    <t>Trip End Time: Hour (1-12)</t>
  </si>
  <si>
    <t>ENDMINTE</t>
  </si>
  <si>
    <t>Trip End Time: Minute (0-59)</t>
  </si>
  <si>
    <t>ENDTIME</t>
  </si>
  <si>
    <t>Trip End Time (HHMM)</t>
  </si>
  <si>
    <t>ENDTIME17</t>
  </si>
  <si>
    <t>Trip End Time (ISO 8601 Date and Time)</t>
  </si>
  <si>
    <t>ESTMILE2</t>
  </si>
  <si>
    <t>Range of Estimated Miles Driven in Vehicle</t>
  </si>
  <si>
    <t>Would you say it was...</t>
  </si>
  <si>
    <t>ESTMILES</t>
  </si>
  <si>
    <t>Estimated Miles Driven in Vehicle</t>
  </si>
  <si>
    <t>About how many miles has this vehicle been driven by all drivers since [$YOU_HAVE2:R[$SELPERNO:C]] had it?</t>
  </si>
  <si>
    <t>FLAG100</t>
  </si>
  <si>
    <t>Whether all household members completed interview</t>
  </si>
  <si>
    <t>FLEXTIME</t>
  </si>
  <si>
    <t>Flex Time</t>
  </si>
  <si>
    <t>At [$YOUR_THEIR][$PRIMARY] job, [$DO_YOU] have the ability to set or change [$YOUR_THEIR] own start time?</t>
  </si>
  <si>
    <t>FRSTHM</t>
  </si>
  <si>
    <t>Travel day began with a home-based activity</t>
  </si>
  <si>
    <t>FRSTHM17</t>
  </si>
  <si>
    <t>Travel day began at home location</t>
  </si>
  <si>
    <t>FUELTYPE</t>
  </si>
  <si>
    <t>Fuel Type</t>
  </si>
  <si>
    <t xml:space="preserve">What type of fuel does it run on? </t>
  </si>
  <si>
    <t>FUELTYPE_O</t>
  </si>
  <si>
    <t>Fuel Type (Other)</t>
  </si>
  <si>
    <t xml:space="preserve">Please describe what type of fuel it runs on. </t>
  </si>
  <si>
    <t>FULLADDR</t>
  </si>
  <si>
    <t>Complete Address with Formatting</t>
  </si>
  <si>
    <t>FULLFIPS</t>
  </si>
  <si>
    <t>Census Block FIPS Code (Comprehensive) (2014 TIGER/Line)</t>
  </si>
  <si>
    <t>GASPRICE</t>
  </si>
  <si>
    <t>Price of gasoline, in cents, on respondent's travel day</t>
  </si>
  <si>
    <t>GCDWORK</t>
  </si>
  <si>
    <t>Minimum geodesic (Great Circle) distance between home location and work location in meters, using WGS84 coordinate system</t>
  </si>
  <si>
    <t>GT1JBLWK</t>
  </si>
  <si>
    <t>More than One Job</t>
  </si>
  <si>
    <t>[$DO_YOU_CAP2] have more than one job?  We mean more than one employer, not just multiple job sites.</t>
  </si>
  <si>
    <t>HBHTNRNT</t>
  </si>
  <si>
    <t>Category of the percent of renter-occupied housing in the census block group of the household's home location.</t>
  </si>
  <si>
    <t>HBHTNRNT17</t>
  </si>
  <si>
    <t>Percent of renter-occupied housing in the census block group of the household's home location.</t>
  </si>
  <si>
    <t>HBPPOPDN</t>
  </si>
  <si>
    <t>Category of population density (persons per square mile) in the census block group of the household's home location.</t>
  </si>
  <si>
    <t>HBPPOPDN17</t>
  </si>
  <si>
    <t>Population density (persons per square mile) in the census block group of the household's home location.</t>
  </si>
  <si>
    <t>HBRESDN</t>
  </si>
  <si>
    <t>Category of housing units per square mile in the census block group of the household's home location.</t>
  </si>
  <si>
    <t>HBRESDN17</t>
  </si>
  <si>
    <t>Housing units per square mile in the census block group of the household's home location.</t>
  </si>
  <si>
    <t>HEALTH</t>
  </si>
  <si>
    <t>Opinion of Health</t>
  </si>
  <si>
    <t>Would you say that in general [$YOUR2] health is...</t>
  </si>
  <si>
    <t>HFUEL</t>
  </si>
  <si>
    <t>Type of Hybrid Vehicle</t>
  </si>
  <si>
    <t>What type of vehicle is it?</t>
  </si>
  <si>
    <t>HFUEL_O</t>
  </si>
  <si>
    <t>Type of Hybrid Vehicle (Other)</t>
  </si>
  <si>
    <t xml:space="preserve">Please describe the type of hybrid vehicle it is? </t>
  </si>
  <si>
    <t>HH_CBSA</t>
  </si>
  <si>
    <t>Core Based Statistical Area (CBSA) FIPS code for the respondent's home address</t>
  </si>
  <si>
    <t>HHFAMINC</t>
  </si>
  <si>
    <t>Household income</t>
  </si>
  <si>
    <t>Please identify which category represents your total household income, before taxes, for last year.</t>
  </si>
  <si>
    <t>HH_HISP</t>
  </si>
  <si>
    <t>Hispanic status of household respondent</t>
  </si>
  <si>
    <t>HHMEMDRV</t>
  </si>
  <si>
    <t>Household member drove on trip</t>
  </si>
  <si>
    <t>HH_ONTD</t>
  </si>
  <si>
    <t>Number of household members on trip including respondent</t>
  </si>
  <si>
    <t>HH_RACE</t>
  </si>
  <si>
    <t>Race of household respondent</t>
  </si>
  <si>
    <t>HHRELATD</t>
  </si>
  <si>
    <t>At least two household persons are related</t>
  </si>
  <si>
    <t>HHRESP</t>
  </si>
  <si>
    <t>Person identifier of household respondent</t>
  </si>
  <si>
    <t xml:space="preserve">First, we will start with some questions about your household. Please select your name from the drop down list below. 
The person providing this information needs to be an adult household member. 
</t>
  </si>
  <si>
    <t>HHSIZE</t>
  </si>
  <si>
    <t>Count of household members</t>
  </si>
  <si>
    <t>Including yourself, how many people live in your home?</t>
  </si>
  <si>
    <t>HHSTATE</t>
  </si>
  <si>
    <t>Household state</t>
  </si>
  <si>
    <t>HHSTFIPS</t>
  </si>
  <si>
    <t>State FIPS for household address</t>
  </si>
  <si>
    <t>HHVEHCNT</t>
  </si>
  <si>
    <t>Count of household vehicles</t>
  </si>
  <si>
    <t>How many motor vehicles are owned, leased, or available for regular use by the people who currently live in your household?
Please be sure to include motorcycles, mopeds and RVs.</t>
  </si>
  <si>
    <t>HOMELOC_1</t>
  </si>
  <si>
    <t>Home Location: Cost / Price of home</t>
  </si>
  <si>
    <t>What are the TOP THREE reasons you chose your current home location?</t>
  </si>
  <si>
    <t>Des Moines Metropolitan Planning Organization
Texas Department of Transportation
Indian Nations Council of Governments
California Department of Transportation
North Central Texas Council of Governments</t>
  </si>
  <si>
    <t>HOMELOC_10</t>
  </si>
  <si>
    <t>Home Location: Close to public transportation</t>
  </si>
  <si>
    <t>North Central Texas Council of Governments
Texas Department of Transportation
Indian Nations Council of Governments
Des Moines Metropolitan Planning Organization
California Department of Transportation</t>
  </si>
  <si>
    <t>HOMELOC_11</t>
  </si>
  <si>
    <t>Home Location: Close to scenic locations</t>
  </si>
  <si>
    <t>Indian Nations Council of Governments
Texas Department of Transportation
North Central Texas Council of Governments
California Department of Transportation
Des Moines Metropolitan Planning Organization</t>
  </si>
  <si>
    <t>HOMELOC_2</t>
  </si>
  <si>
    <t>Home Location: Home size and characteristics</t>
  </si>
  <si>
    <t>North Central Texas Council of Governments
California Department of Transportation
Texas Department of Transportation
Indian Nations Council of Governments
Des Moines Metropolitan Planning Organization</t>
  </si>
  <si>
    <t>HOMELOC_3</t>
  </si>
  <si>
    <t>Home Location: Neighborhood characteristics</t>
  </si>
  <si>
    <t>California Department of Transportation
North Central Texas Council of Governments
Texas Department of Transportation
Indian Nations Council of Governments
Des Moines Metropolitan Planning Organization</t>
  </si>
  <si>
    <t>HOMELOC_4</t>
  </si>
  <si>
    <t>Home Location: Home or lot size</t>
  </si>
  <si>
    <t>Indian Nations Council of Governments
North Central Texas Council of Governments
Des Moines Metropolitan Planning Organization
Texas Department of Transportation
California Department of Transportation</t>
  </si>
  <si>
    <t>HOMELOC_5</t>
  </si>
  <si>
    <t>Home Location: School district / System</t>
  </si>
  <si>
    <t>Des Moines Metropolitan Planning Organization
North Central Texas Council of Governments
California Department of Transportation
Texas Department of Transportation
Indian Nations Council of Governments</t>
  </si>
  <si>
    <t>HOMELOC_6</t>
  </si>
  <si>
    <t>Home Location: Convenient to work</t>
  </si>
  <si>
    <t>Texas Department of Transportation
North Central Texas Council of Governments
California Department of Transportation
Des Moines Metropolitan Planning Organization
Indian Nations Council of Governments</t>
  </si>
  <si>
    <t>HOMELOC_7</t>
  </si>
  <si>
    <t xml:space="preserve">Home Location: Convenient to school </t>
  </si>
  <si>
    <t>North Central Texas Council of Governments
Des Moines Metropolitan Planning Organization
Indian Nations Council of Governments
Texas Department of Transportation
California Department of Transportation</t>
  </si>
  <si>
    <t>HOMELOC_8</t>
  </si>
  <si>
    <t>Home Location: Convenient to retail</t>
  </si>
  <si>
    <t>Des Moines Metropolitan Planning Organization
California Department of Transportation
North Central Texas Council of Governments
Indian Nations Council of Governments
Texas Department of Transportation</t>
  </si>
  <si>
    <t>HOMELOC_9</t>
  </si>
  <si>
    <t>Home Location: Close to friends &amp; family</t>
  </si>
  <si>
    <t>Texas Department of Transportation
Indian Nations Council of Governments
Des Moines Metropolitan Planning Organization
California Department of Transportation
North Central Texas Council of Governments</t>
  </si>
  <si>
    <t>HOMELOC_DK</t>
  </si>
  <si>
    <t>Home Location: Does Not Know Answer</t>
  </si>
  <si>
    <t>California Department of Transportation
Des Moines Metropolitan Planning Organization
Indian Nations Council of Governments
Texas Department of Transportation
North Central Texas Council of Governments</t>
  </si>
  <si>
    <t>HOMELOC_NA</t>
  </si>
  <si>
    <t>Home Location: No other reasons</t>
  </si>
  <si>
    <t>Indian Nations Council of Governments
Des Moines Metropolitan Planning Organization
California Department of Transportation
North Central Texas Council of Governments
Texas Department of Transportation</t>
  </si>
  <si>
    <t>HOMELOC_RF</t>
  </si>
  <si>
    <t>Home Location: Refused to Answer</t>
  </si>
  <si>
    <t>Des Moines Metropolitan Planning Organization
North Central Texas Council of Governments
California Department of Transportation
Indian Nations Council of Governments
Texas Department of Transportation</t>
  </si>
  <si>
    <t>HOMEOWN</t>
  </si>
  <si>
    <t>Home Ownership</t>
  </si>
  <si>
    <t>Do you own or rent your home?</t>
  </si>
  <si>
    <t>HOMEOWN_IMP</t>
  </si>
  <si>
    <t>Home Ownership (imputed)</t>
  </si>
  <si>
    <t>HOMEOWOS</t>
  </si>
  <si>
    <t>Home Ownership (Other)</t>
  </si>
  <si>
    <t>Please describe your arrangement.</t>
  </si>
  <si>
    <t>HOMETEN</t>
  </si>
  <si>
    <t>Count of Years Lived in Home</t>
  </si>
  <si>
    <t>How many years have you lived in your current home?  Please round up to the next full year (e.g. less than 1, enter 1; between 1 and 2, enter 2; etc.).</t>
  </si>
  <si>
    <t>Indian Nations Council of Governments</t>
  </si>
  <si>
    <t>HOUSEID</t>
  </si>
  <si>
    <t>HOUSEHOLD Table: Household Identifier
PERSON Table: Household Identifier
LOCATION Table: Household Identifier
VEHICLE Table: Household Identifier
TRIP Table: Household Identifier</t>
  </si>
  <si>
    <t>HOWFRPOS</t>
  </si>
  <si>
    <t>Mode(s) Used from Transit to Trip Destination (Other)</t>
  </si>
  <si>
    <t xml:space="preserve">Please describe how [$YOU1] got from the [$MODETEXT] to [$LOCNAME]?   </t>
  </si>
  <si>
    <t>HOWPUBOS</t>
  </si>
  <si>
    <t>Mode(s) Used to Transit from Trip Origin (Other)</t>
  </si>
  <si>
    <t xml:space="preserve">How did [$YOU1] get to [$MODETEXT]? </t>
  </si>
  <si>
    <t>HTEEMPDN</t>
  </si>
  <si>
    <t>Category of workers per square mile in the census tract of the household's home location.</t>
  </si>
  <si>
    <t>HTEEMPDN17</t>
  </si>
  <si>
    <t>Workers per square mile in the census tract of the household's home location.</t>
  </si>
  <si>
    <t>HTHTNRNT</t>
  </si>
  <si>
    <t>Category of the percent of renter-occupied housing in the census tract of the household's home location.</t>
  </si>
  <si>
    <t>HTHTNRNT17</t>
  </si>
  <si>
    <t>Percent of renter-occupied housing in the census tract of the household's home location.</t>
  </si>
  <si>
    <t>HTPPOPDN</t>
  </si>
  <si>
    <t>Category of population density (persons per square mile) in the census tract of the household's home location.</t>
  </si>
  <si>
    <t>HTPPOPDN17</t>
  </si>
  <si>
    <t>Population density (persons per square mile) in the census tract of the household's home location.</t>
  </si>
  <si>
    <t>HTRESDN</t>
  </si>
  <si>
    <t>Category of housing units per square mile in the census tract of the household's home location.</t>
  </si>
  <si>
    <t>HTRESDN17</t>
  </si>
  <si>
    <t>Housing units per square mile in the census tract of the household's home location.</t>
  </si>
  <si>
    <t>HYBRID</t>
  </si>
  <si>
    <t>Hybrid vehicle</t>
  </si>
  <si>
    <t>INVEST_1</t>
  </si>
  <si>
    <t>Transportation Investments: New roadways</t>
  </si>
  <si>
    <t xml:space="preserve">What type of transportation investments should the [$STATE_REGION] focus on?  Please SELECT YOUR TOP THREE choices.  </t>
  </si>
  <si>
    <t>Indian Nations Council of Governments
Arizona Department of Transportation
Des Moines Metropolitan Planning Organization</t>
  </si>
  <si>
    <t>INVEST_10</t>
  </si>
  <si>
    <t>Transportation Investments: Refused signal Coordination</t>
  </si>
  <si>
    <t>Des Moines Metropolitan Planning Organization
Arizona Department of Transportation
Indian Nations Council of Governments</t>
  </si>
  <si>
    <t>INVEST_2</t>
  </si>
  <si>
    <t>Transportation Investments: Existing roadway maintenance / reconstruction</t>
  </si>
  <si>
    <t>Arizona Department of Transportation
Indian Nations Council of Governments
Des Moines Metropolitan Planning Organization</t>
  </si>
  <si>
    <t>INVEST_3</t>
  </si>
  <si>
    <t>Transportation Investments: Public transportation</t>
  </si>
  <si>
    <t>INVEST_4</t>
  </si>
  <si>
    <t>Transportation Investments: Sidewalks</t>
  </si>
  <si>
    <t>Indian Nations Council of Governments
Des Moines Metropolitan Planning Organization
Arizona Department of Transportation</t>
  </si>
  <si>
    <t>INVEST_5</t>
  </si>
  <si>
    <t>Transportation Investments: Parking</t>
  </si>
  <si>
    <t>Arizona Department of Transportation
Des Moines Metropolitan Planning Organization
Indian Nations Council of Governments</t>
  </si>
  <si>
    <t>INVEST_6</t>
  </si>
  <si>
    <t>Transportation Investments: High-occupancy vehicle lanes</t>
  </si>
  <si>
    <t>INVEST_7</t>
  </si>
  <si>
    <t>Transportation Investments: Bike lanes and paths</t>
  </si>
  <si>
    <t>INVEST_8</t>
  </si>
  <si>
    <t>Transportation Investments: Bike lanes</t>
  </si>
  <si>
    <t>Des Moines Metropolitan Planning Organization
Indian Nations Council of Governments
Arizona Department of Transportation</t>
  </si>
  <si>
    <t>INVEST_9</t>
  </si>
  <si>
    <t>Transportation Investments: Recreational trails</t>
  </si>
  <si>
    <t>INVEST_DK</t>
  </si>
  <si>
    <t>Transportation Investments: Does Not Know Answer</t>
  </si>
  <si>
    <t>INVEST_NA</t>
  </si>
  <si>
    <t>Transportation Investments: No other reasons</t>
  </si>
  <si>
    <t>INVEST_RF</t>
  </si>
  <si>
    <t>Transportation Investments: Refused to Answer</t>
  </si>
  <si>
    <t>JOBCATOS</t>
  </si>
  <si>
    <t>Job Category (Other)</t>
  </si>
  <si>
    <t>Please describe [$YOUR2_2] primary job.</t>
  </si>
  <si>
    <t>LANDLINE</t>
  </si>
  <si>
    <t>Landline Telephone Status</t>
  </si>
  <si>
    <t>Do you have a landline telephone?</t>
  </si>
  <si>
    <t>LANG</t>
  </si>
  <si>
    <t>Survey Language</t>
  </si>
  <si>
    <t>What language do you prefer?</t>
  </si>
  <si>
    <t>LATITUDE</t>
  </si>
  <si>
    <t>Latitude (WGS 84 / EPSG: 4326)</t>
  </si>
  <si>
    <t>LD_DIST</t>
  </si>
  <si>
    <t>Road network distance, in miles, between respondent's home location and geographical center of most frequently visited long distance city. Network distance and city's geographical center sourced using Google Distance Matrix API.</t>
  </si>
  <si>
    <t>LIF_CYC</t>
  </si>
  <si>
    <t>Life Cycle classification for the household, derived by attributes pertaining to age, relationship, and work status.</t>
  </si>
  <si>
    <t>LOCNAME</t>
  </si>
  <si>
    <t>Name of Location (Entered/Selected by Respondent)</t>
  </si>
  <si>
    <t/>
  </si>
  <si>
    <t>LOCNO</t>
  </si>
  <si>
    <t>TRIP Table: Trip Destination Location Identifier
LOCATION Table: Location Identifier</t>
  </si>
  <si>
    <t>LOCTYPE</t>
  </si>
  <si>
    <t>Type of Location</t>
  </si>
  <si>
    <t>LONGITUDE</t>
  </si>
  <si>
    <t>Longitude (WGS 84 / EPSG: 4326)</t>
  </si>
  <si>
    <t>LOOP_TRIP</t>
  </si>
  <si>
    <t>Trip origin and destination at identical location</t>
  </si>
  <si>
    <t>LPACT</t>
  </si>
  <si>
    <t>Count of Times of Light or Moderate Physical Activity in Past Week</t>
  </si>
  <si>
    <t>During a typical week how many times [$DO_YOU] do light or moderate physical activity for more than 30 minutes?</t>
  </si>
  <si>
    <t>LSTTRDAY17</t>
  </si>
  <si>
    <t>Last trip before travel day</t>
  </si>
  <si>
    <t>When was the last time [$YOU1] made a trip to another address before [$TRAVDATE]?</t>
  </si>
  <si>
    <t>MAKE</t>
  </si>
  <si>
    <t>Vehicle Make</t>
  </si>
  <si>
    <t xml:space="preserve">What is the make of this vehicle?
Click and type below to quickly find the make:
</t>
  </si>
  <si>
    <t>MAKE_O</t>
  </si>
  <si>
    <t>Vehicle Make (Other)</t>
  </si>
  <si>
    <t>Please describe the make of this vehicle.</t>
  </si>
  <si>
    <t>MCA8_OS</t>
  </si>
  <si>
    <t>Medical Device Used: Something Else</t>
  </si>
  <si>
    <t>[$DO_YOU_CAP] use any of the following? 
Please SELECT ALL that apply.</t>
  </si>
  <si>
    <t>MCA8_OTH</t>
  </si>
  <si>
    <t>Medical Device Used (Other)</t>
  </si>
  <si>
    <t>Please describe the device.</t>
  </si>
  <si>
    <t>MCUSED</t>
  </si>
  <si>
    <t>Count of Motorcycle or Moped Trips</t>
  </si>
  <si>
    <t>In the past 30 days, about how many times [$HAVE_YOU] driven a motorcycle or moped on public roadways?</t>
  </si>
  <si>
    <t>MEDCOND</t>
  </si>
  <si>
    <t>Medical Condition</t>
  </si>
  <si>
    <t>[$DO_YOU_CAP] have a condition or handicap that makes it difficult to travel outside of the home?</t>
  </si>
  <si>
    <t>MEDCOND6</t>
  </si>
  <si>
    <t>Medical Condition, How Long</t>
  </si>
  <si>
    <t>How long [$HAVE_YOU] had this condition?</t>
  </si>
  <si>
    <t>MODEL</t>
  </si>
  <si>
    <t>Vehicle Model</t>
  </si>
  <si>
    <t>What is the model of this vehicle?
Click and type below to quickly find the model:</t>
  </si>
  <si>
    <t>MODEL_O</t>
  </si>
  <si>
    <t>Vehicle Model (Other)</t>
  </si>
  <si>
    <t>Please describe the model of this vehicle.</t>
  </si>
  <si>
    <t>MSACAT</t>
  </si>
  <si>
    <t>Metropolitan Statistical Area (MSA) category for the household's home address, based on household's home geocode and TIGER/Line Shapefiles.</t>
  </si>
  <si>
    <t>MSASIZE</t>
  </si>
  <si>
    <t>Population size category of the Metropolitan Statistical Area (MSA), from the 2010-2014 five-year American Community Survey (ACS) API.</t>
  </si>
  <si>
    <t>NBIKETRP</t>
  </si>
  <si>
    <t>Count of Bike Trips</t>
  </si>
  <si>
    <t xml:space="preserve">In the past 7 days, how many times did [$YOU1] ride a bicycle outside including bicycling to go somewhere or for exercise?  </t>
  </si>
  <si>
    <t>NOCONG</t>
  </si>
  <si>
    <t>Trip Time in Minutes to Work without Traffic</t>
  </si>
  <si>
    <t>How many minutes would it take to drive to [$YOUR2] workplace if there was no traffic?</t>
  </si>
  <si>
    <t>NONHHCNT</t>
  </si>
  <si>
    <t>Number of non-household members on trip</t>
  </si>
  <si>
    <t>NUMADLT</t>
  </si>
  <si>
    <t>Count of adult household members at least 18 years old</t>
  </si>
  <si>
    <t>NUMONTRP</t>
  </si>
  <si>
    <t>Number of people on trip including respondent</t>
  </si>
  <si>
    <t>NUMTRANS</t>
  </si>
  <si>
    <t>Count of Transfers</t>
  </si>
  <si>
    <t>How many times during [$YOUR2] commute to [$LOCNAME] did [$YOU_THEY] transfer (bus to bus, train to bus, train to train, etc)?</t>
  </si>
  <si>
    <t>NWALKTRP</t>
  </si>
  <si>
    <t>Count of Walk Trips</t>
  </si>
  <si>
    <t xml:space="preserve">Now we are going to ask some general questions about [$YOUR2] usual travel activities.
In the past 7 days, how many times did [$YOU1] take a walk outside including walks to go somewhere, exercise or to walk the dog? </t>
  </si>
  <si>
    <t>OCCAT</t>
  </si>
  <si>
    <t>Job Category</t>
  </si>
  <si>
    <t>Which best describes [$YOUR2_2][$PRIMARY] job?</t>
  </si>
  <si>
    <t>OD_DATE</t>
  </si>
  <si>
    <t>Odometer Reading: Date</t>
  </si>
  <si>
    <t>When was the odometer reading taken?</t>
  </si>
  <si>
    <t>OD_DAY</t>
  </si>
  <si>
    <t>Odometer Reading: Day</t>
  </si>
  <si>
    <t>ODEVICE</t>
  </si>
  <si>
    <t>Frequency of Other Device Use to Access the Internet (Not Desktop or Laptop Computer, Smartphone, or Tablet)</t>
  </si>
  <si>
    <t>Other device, specify</t>
  </si>
  <si>
    <t>ODEVICE_O</t>
  </si>
  <si>
    <t>Other Device Used to Access the Internet (That is Not a Desktop or Laptop Computer, Smartphone, or Tablet)</t>
  </si>
  <si>
    <t>OD_MONTH</t>
  </si>
  <si>
    <t>Odometer Reading: Month</t>
  </si>
  <si>
    <t>OD_READ</t>
  </si>
  <si>
    <t>Odometer Reading</t>
  </si>
  <si>
    <t>How many miles does [$VEHYEARTEXT] [$MAKETEXT] [$MODELTEXT] have on it?</t>
  </si>
  <si>
    <t>OD_YEAR</t>
  </si>
  <si>
    <t>Odometer Reading: Year</t>
  </si>
  <si>
    <t>O_LOCNO</t>
  </si>
  <si>
    <t>Trip Origin Location Identifier</t>
  </si>
  <si>
    <t>ONTD_P1</t>
  </si>
  <si>
    <t>Household Person Identifier on Trip: 1</t>
  </si>
  <si>
    <t>ONTD_P10</t>
  </si>
  <si>
    <t>Household Person Identifier on Trip: 10</t>
  </si>
  <si>
    <t>ONTD_P11</t>
  </si>
  <si>
    <t>Household Person Identifier on Trip: 11</t>
  </si>
  <si>
    <t>ONTD_P12</t>
  </si>
  <si>
    <t>Household Person Identifier on Trip: 12</t>
  </si>
  <si>
    <t>ONTD_P13</t>
  </si>
  <si>
    <t>Household Person Identifier on Trip: 13</t>
  </si>
  <si>
    <t>ONTD_P14</t>
  </si>
  <si>
    <t>Household Person Identifier on Trip: 14</t>
  </si>
  <si>
    <t>ONTD_P15</t>
  </si>
  <si>
    <t>Household Person Identifier on Trip: 15</t>
  </si>
  <si>
    <t>ONTD_P2</t>
  </si>
  <si>
    <t>Household Person Identifier on Trip: 2</t>
  </si>
  <si>
    <t>ONTD_P3</t>
  </si>
  <si>
    <t>Household Person Identifier on Trip: 3</t>
  </si>
  <si>
    <t>ONTD_P4</t>
  </si>
  <si>
    <t>Household Person Identifier on Trip: 4</t>
  </si>
  <si>
    <t>ONTD_P5</t>
  </si>
  <si>
    <t>Household Person Identifier on Trip: 5</t>
  </si>
  <si>
    <t>ONTD_P6</t>
  </si>
  <si>
    <t>Household Person Identifier on Trip: 6</t>
  </si>
  <si>
    <t>ONTD_P7</t>
  </si>
  <si>
    <t>Household Person Identifier on Trip: 7</t>
  </si>
  <si>
    <t>ONTD_P8</t>
  </si>
  <si>
    <t>Household Person Identifier on Trip: 8</t>
  </si>
  <si>
    <t>ONTD_P9</t>
  </si>
  <si>
    <t>Household Person Identifier on Trip: 9</t>
  </si>
  <si>
    <t>OUTCNTRY</t>
  </si>
  <si>
    <t>Respondent was out of the country on travel day.</t>
  </si>
  <si>
    <t>OUTOFTWN</t>
  </si>
  <si>
    <t>Away from home for entire travel day</t>
  </si>
  <si>
    <t>PARA</t>
  </si>
  <si>
    <t>Frequency of Paratransit Use for Travel</t>
  </si>
  <si>
    <t>Paratransit</t>
  </si>
  <si>
    <t>PAYPROF</t>
  </si>
  <si>
    <t>Work for Pay in Previous Week</t>
  </si>
  <si>
    <t>Last week, did [$YOU2] do any work for either pay or profit?</t>
  </si>
  <si>
    <t>PC</t>
  </si>
  <si>
    <t>Frequency of Desktop or Laptop Computer Use to Access the Internet</t>
  </si>
  <si>
    <t>Desktop or laptop computer</t>
  </si>
  <si>
    <t>PERINDT2</t>
  </si>
  <si>
    <t>Survey Completion Date</t>
  </si>
  <si>
    <t>PERSONID</t>
  </si>
  <si>
    <t>PERSON Table: Person Identifier
TRIP Table: Person Identifier
LOCATION Table: Person Identifier of Work and School Location</t>
  </si>
  <si>
    <t>PHYACT</t>
  </si>
  <si>
    <t>Level of Physical Activity</t>
  </si>
  <si>
    <t>Which of the following statements best describes how physically active [$YOU_ARE] in a typical week?</t>
  </si>
  <si>
    <t>PLACE</t>
  </si>
  <si>
    <t>Travel is a Financial Burden</t>
  </si>
  <si>
    <t>Getting from place to place costs too much.</t>
  </si>
  <si>
    <t>PRICE</t>
  </si>
  <si>
    <t>Price of Gasoline Affects Travel</t>
  </si>
  <si>
    <t>The price of gas affects the number of places I go.</t>
  </si>
  <si>
    <t>PRMACT</t>
  </si>
  <si>
    <t>Primary Activity in Previous Week</t>
  </si>
  <si>
    <t>During most of last week [$WERE_YOU2]...</t>
  </si>
  <si>
    <t>PROXY</t>
  </si>
  <si>
    <t>Trip info from respondent or proxy</t>
  </si>
  <si>
    <t>PSGR_FLG</t>
  </si>
  <si>
    <t>Respondent was passenger on trip</t>
  </si>
  <si>
    <t>PTRANS</t>
  </si>
  <si>
    <t>Public Transportation to Reduce Financial Burden of Travel</t>
  </si>
  <si>
    <t>I use public transportation to save money.</t>
  </si>
  <si>
    <t>PTUSED</t>
  </si>
  <si>
    <t>Count of Public Transit Usage</t>
  </si>
  <si>
    <t>In the past 30 days, about how many days [$HAVE_YOU] used public transportation such as buses, subways, streetcars, or commuter trains?  
Do not include taxis.</t>
  </si>
  <si>
    <t>PUB_REASON</t>
  </si>
  <si>
    <t>Reason for Using Public Transit</t>
  </si>
  <si>
    <t>What was the main reason [$YOU1] made this trip by transit?</t>
  </si>
  <si>
    <t>PUBTIME</t>
  </si>
  <si>
    <t>Minutes Spent Transferring to Work</t>
  </si>
  <si>
    <t>How many minutes each day [$DO_YOU] usually spend transferring during [$YOUR_THEIR] commute TO work (e.g. bus to bus, train to train, bus to train)?</t>
  </si>
  <si>
    <t>PUBTRANS</t>
  </si>
  <si>
    <t>Public transportation used on trip</t>
  </si>
  <si>
    <t>QC_DAY</t>
  </si>
  <si>
    <t>Travel Day Data Quality Code: Person Abandoned Trip Reporting without Completing Entire Day's Travel</t>
  </si>
  <si>
    <t>QC_JOINT</t>
  </si>
  <si>
    <t>Travel Day Data Quality Code: Person Has Contradictory Intra-Household Joint/Shared Travel</t>
  </si>
  <si>
    <t>QC_LOC</t>
  </si>
  <si>
    <t>Travel Day Data Quality Code: Person Has Low-Precision Location Data</t>
  </si>
  <si>
    <t>QC_LOOP</t>
  </si>
  <si>
    <t>Travel Day Data Quality Code: Person Has Unrealistic Back-to-Back/Loop Travel</t>
  </si>
  <si>
    <t>QC_TIME</t>
  </si>
  <si>
    <t>Travel Day Data Quality Code: Person Has Travel with Unrealistic Durations</t>
  </si>
  <si>
    <t>RACE_1</t>
  </si>
  <si>
    <t>Race: White</t>
  </si>
  <si>
    <t>Which of the following describes [$YOUR2_2] race? 
Please SELECT ALL that apply.</t>
  </si>
  <si>
    <t>RACE_2</t>
  </si>
  <si>
    <t>Race: Black or African American</t>
  </si>
  <si>
    <t>RACE_3</t>
  </si>
  <si>
    <t>Race: Asian</t>
  </si>
  <si>
    <t>RACE_4</t>
  </si>
  <si>
    <t>Race: American Indian or Alaska Native</t>
  </si>
  <si>
    <t>RACE_5</t>
  </si>
  <si>
    <t>Race: Native Hawaiian or other Pacific Islander</t>
  </si>
  <si>
    <t>RACE_DK</t>
  </si>
  <si>
    <t>Race: Does Not Know Answer</t>
  </si>
  <si>
    <t>RACE_O</t>
  </si>
  <si>
    <t>Race: Some Other Race Description</t>
  </si>
  <si>
    <t>Please provide [$YOUR2_2] race.</t>
  </si>
  <si>
    <t>RACE_RF</t>
  </si>
  <si>
    <t>Race: Refused to Answer</t>
  </si>
  <si>
    <t>RACE_SE</t>
  </si>
  <si>
    <t>Race: Some Other Race</t>
  </si>
  <si>
    <t>R_AGE</t>
  </si>
  <si>
    <t>Age</t>
  </si>
  <si>
    <t>How old [$ARE_YOU]?
[$DISP_AGE]</t>
  </si>
  <si>
    <t>R_AGE_IMP</t>
  </si>
  <si>
    <t>Age (imputed)</t>
  </si>
  <si>
    <t>RAIL</t>
  </si>
  <si>
    <t>MSA heavy rail status for household</t>
  </si>
  <si>
    <t>RECMODE</t>
  </si>
  <si>
    <t>Survey mode at recruit completion</t>
  </si>
  <si>
    <t>RESP_CNT</t>
  </si>
  <si>
    <t>Count of responding persons per household</t>
  </si>
  <si>
    <t>RETMODE</t>
  </si>
  <si>
    <t>Survey mode at retrieval completion</t>
  </si>
  <si>
    <t>R_HISP</t>
  </si>
  <si>
    <t>Hispanic or Latino Origin</t>
  </si>
  <si>
    <t>[$NEXT_HHMEM_HISP][$ARE_YOU_CAP2] of Hispanic or Latino origin?</t>
  </si>
  <si>
    <t>R_HISP_IMP</t>
  </si>
  <si>
    <t>Hispanic or Latino Origin (imputed)</t>
  </si>
  <si>
    <t>RIDESHARE</t>
  </si>
  <si>
    <t>Count of Rideshare App Usage</t>
  </si>
  <si>
    <t>In the past 30 days, how many times [$HAVE_YOU] purchased a ride with a smartphone rideshare app (e.g. Uber, Lyft, Sidecar)?</t>
  </si>
  <si>
    <t>R_RACE</t>
  </si>
  <si>
    <t>Race</t>
  </si>
  <si>
    <t>R_RACE_IMP</t>
  </si>
  <si>
    <t>Race (imputed)</t>
  </si>
  <si>
    <t>R_RELAT</t>
  </si>
  <si>
    <t>Relationship</t>
  </si>
  <si>
    <t>What is [$YOUR2_2] relationship to [$YOU_R1]? Relationships include biological, adopted and step.</t>
  </si>
  <si>
    <t>R_RETMODE</t>
  </si>
  <si>
    <t>R_SEX</t>
  </si>
  <si>
    <t>Gender</t>
  </si>
  <si>
    <t>Gender:</t>
  </si>
  <si>
    <t>R_SEX_IMP</t>
  </si>
  <si>
    <t>Gender (imputed)</t>
  </si>
  <si>
    <t>SAMEPLC</t>
  </si>
  <si>
    <t>Reason for No Trips</t>
  </si>
  <si>
    <t>What was the main reason that [$YOU1] did not go anywhere on [$YOUR_THEIR] travel day?</t>
  </si>
  <si>
    <t>SAMEPLC_O</t>
  </si>
  <si>
    <t>Reason for No Trips (Other)</t>
  </si>
  <si>
    <t>SAMPAREA</t>
  </si>
  <si>
    <t>Sample Area</t>
  </si>
  <si>
    <t>SAMPSTRAT</t>
  </si>
  <si>
    <t>Primary Sampling Stratum Assignment</t>
  </si>
  <si>
    <t>SCHTRN1</t>
  </si>
  <si>
    <t>Mode to School</t>
  </si>
  <si>
    <t>How [$DO_YOU] usually get to school? 
Please SELECT THE ONE used for most of the distance.</t>
  </si>
  <si>
    <t>SCHTRN1O</t>
  </si>
  <si>
    <t>Mode to School (Other)</t>
  </si>
  <si>
    <t>How [$DO_YOU] usually get to school?</t>
  </si>
  <si>
    <t>SCHTRN2</t>
  </si>
  <si>
    <t>Mode from School</t>
  </si>
  <si>
    <t>How [$DO_YOU] usually leave school?
Please SELECT THE ONE used for most of the distance.</t>
  </si>
  <si>
    <t>SCHTRN2O</t>
  </si>
  <si>
    <t>Mode from School (Other)</t>
  </si>
  <si>
    <t>How [$DO_YOU] usually leave school?</t>
  </si>
  <si>
    <t>SCHTYP</t>
  </si>
  <si>
    <t>Student Status</t>
  </si>
  <si>
    <t>The Department of Transportation and your local community are interested in ensuring travel safety to and from school. The following questions will help identify issues that children might face in traveling between home and school for the most recent school year. 
What type of school [$DO_YOU2] attend?
Think about the most recent school attended.</t>
  </si>
  <si>
    <t>SCRESP</t>
  </si>
  <si>
    <t>Person identifier of mail screener respondent, always 1 to roster self first</t>
  </si>
  <si>
    <t>SPHONE</t>
  </si>
  <si>
    <t>Frequency of Smartphone Use to Access the Internet</t>
  </si>
  <si>
    <t>Smartphone</t>
  </si>
  <si>
    <t>SPONSCHG</t>
  </si>
  <si>
    <t>Flag indicating SPONSOR variable changed during retrieval</t>
  </si>
  <si>
    <t>SPONSOR</t>
  </si>
  <si>
    <t>Addon status when national and addon sample are unioned by geography</t>
  </si>
  <si>
    <t>STATE</t>
  </si>
  <si>
    <t>State</t>
  </si>
  <si>
    <t>STATEFIPS</t>
  </si>
  <si>
    <t>Census State FIPS Code (2014 TIGER/Line)</t>
  </si>
  <si>
    <t>STREETADDR</t>
  </si>
  <si>
    <t>Street Address</t>
  </si>
  <si>
    <t>STRTAMPM</t>
  </si>
  <si>
    <t>Trip Start Time: AM/PM</t>
  </si>
  <si>
    <t>What time did [$YOU1] leave here?</t>
  </si>
  <si>
    <t>STRTHR</t>
  </si>
  <si>
    <t>Trip Start Time: Hour (1-12)</t>
  </si>
  <si>
    <t>STRTMIN</t>
  </si>
  <si>
    <t>Trip Start Time: Minute (0-59)</t>
  </si>
  <si>
    <t>STRTTIME</t>
  </si>
  <si>
    <t>Trip Start Time (HHMM)</t>
  </si>
  <si>
    <t>STRTTIME17</t>
  </si>
  <si>
    <t>Trip Start Time (ISO 8601 Date and Time)</t>
  </si>
  <si>
    <t>TAB</t>
  </si>
  <si>
    <t>Frequency of Tablet Use to Access the Internet</t>
  </si>
  <si>
    <t>Tablet</t>
  </si>
  <si>
    <t>TAXI</t>
  </si>
  <si>
    <t>Frequency of Taxi Service or Rideshare Use for Travel</t>
  </si>
  <si>
    <t>Taxi service or rideshare such as Uber/Lyft</t>
  </si>
  <si>
    <t>TDAYDAT2</t>
  </si>
  <si>
    <t>Survey Travel Date</t>
  </si>
  <si>
    <t>TDAYDATE</t>
  </si>
  <si>
    <t>Date of travel day (YYYYMM)</t>
  </si>
  <si>
    <t>TDCASEID</t>
  </si>
  <si>
    <t>Unique identifier for every trip record in the file</t>
  </si>
  <si>
    <t>TDDRIVER</t>
  </si>
  <si>
    <t>Travel day driver status</t>
  </si>
  <si>
    <t>TDTRPNUM</t>
  </si>
  <si>
    <t>Incrementing travel day trip number, starting at 1 for each person in the file</t>
  </si>
  <si>
    <t>TDWKND</t>
  </si>
  <si>
    <t>Weekend trip</t>
  </si>
  <si>
    <t>TIMETOWK</t>
  </si>
  <si>
    <t>Trip Time to Work in Minutes</t>
  </si>
  <si>
    <t xml:space="preserve">Thinking about [$YOUR_THEIR] daily commute to work last week, how many minutes did it usually take [$YOU1] to get from home to [$YOUR_THEIR][$PRIMARY] job / work? </t>
  </si>
  <si>
    <t>TIMEZONE</t>
  </si>
  <si>
    <t>Time Zone</t>
  </si>
  <si>
    <t>TOLLTAG</t>
  </si>
  <si>
    <t>Has Toll Tag in a Vehicle</t>
  </si>
  <si>
    <t>Do you have a PIKEPASS (toll tag) in [$ANY_HHVEH]?</t>
  </si>
  <si>
    <t>TRACC1</t>
  </si>
  <si>
    <t>Mode(s) Used to Transit from Trip Origin: Walking</t>
  </si>
  <si>
    <t>How did [$YOU1] get to the [$MODETEXT]? 
Please SELECT ALL that apply.</t>
  </si>
  <si>
    <t>TRACC10</t>
  </si>
  <si>
    <t>Mode(s) Used to Transit from Trip Origin: School bus</t>
  </si>
  <si>
    <t>TRACC11</t>
  </si>
  <si>
    <t>Mode(s) Used to Transit from Trip Origin: Public Transit or commuter bus</t>
  </si>
  <si>
    <t>TRACC12</t>
  </si>
  <si>
    <t>Mode(s) Used to Transit from Trip Origin: Paratransit / Dial-a-ride</t>
  </si>
  <si>
    <t>TRACC13</t>
  </si>
  <si>
    <t>Mode(s) Used to Transit from Trip Origin: Private / Charter / Tour/ Shuttle bus</t>
  </si>
  <si>
    <t>TRACC14</t>
  </si>
  <si>
    <t>Mode(s) Used to Transit from Trip Origin: City-to-city bus (Greyhound, Megabus)</t>
  </si>
  <si>
    <t>TRACC15</t>
  </si>
  <si>
    <t>Mode(s) Used to Transit from Trip Origin: Amtrak / Commuter rail</t>
  </si>
  <si>
    <t>TRACC16</t>
  </si>
  <si>
    <t>Mode(s) Used to Transit from Trip Origin: Subway / Elevated / Light rail / Street car</t>
  </si>
  <si>
    <t>TRACC17</t>
  </si>
  <si>
    <t>Mode(s) Used to Transit from Trip Origin: Taxi / Limo (Including Uber / Lyft)</t>
  </si>
  <si>
    <t>TRACC18</t>
  </si>
  <si>
    <t>Mode(s) Used to Transit from Trip Origin: Rental car (including Zipcar / Car2Go)</t>
  </si>
  <si>
    <t>TRACC19</t>
  </si>
  <si>
    <t>Mode(s) Used to Transit from Trip Origin: Airplane</t>
  </si>
  <si>
    <t>TRACC2</t>
  </si>
  <si>
    <t>Mode(s) Used to Transit from Trip Origin: Bicycle</t>
  </si>
  <si>
    <t>TRACC20</t>
  </si>
  <si>
    <t>Mode(s) Used to Transit from Trip Origin: Boat</t>
  </si>
  <si>
    <t>TRACC3</t>
  </si>
  <si>
    <t>Mode(s) Used to Transit from Trip Origin: Car</t>
  </si>
  <si>
    <t>TRACC4</t>
  </si>
  <si>
    <t>Mode(s) Used to Transit from Trip Origin: SUV</t>
  </si>
  <si>
    <t>TRACC5</t>
  </si>
  <si>
    <t>Mode(s) Used to Transit from Trip Origin: Van</t>
  </si>
  <si>
    <t>TRACC6</t>
  </si>
  <si>
    <t>Mode(s) Used to Transit from Trip Origin: Pickup Truck</t>
  </si>
  <si>
    <t>TRACC7</t>
  </si>
  <si>
    <t>Mode(s) Used to Transit from Trip Origin: Golf cart / Segway</t>
  </si>
  <si>
    <t>TRACC8</t>
  </si>
  <si>
    <t>Mode(s) Used to Transit from Trip Origin: Motorcycle / Moped</t>
  </si>
  <si>
    <t>TRACC9</t>
  </si>
  <si>
    <t>Mode(s) Used to Transit from Trip Origin: RV (motor home / ATV / snowmobile)</t>
  </si>
  <si>
    <t>TRACCDK</t>
  </si>
  <si>
    <t>Mode(s) Used to Transit from Trip Origin: Does Not Know Answer</t>
  </si>
  <si>
    <t>TRACC_O</t>
  </si>
  <si>
    <t>Mode(s) Used to Transit from Trip Origin: Something Else</t>
  </si>
  <si>
    <t>TRACCRF</t>
  </si>
  <si>
    <t>Mode(s) Used to Transit from Trip Origin: Refused to Answer</t>
  </si>
  <si>
    <t>TRACCTM</t>
  </si>
  <si>
    <t>Trip Time to Transit Station in Minutes</t>
  </si>
  <si>
    <t xml:space="preserve">How many minutes did it take [$YOU1] to get to the [$BUS_TRAIN] station? </t>
  </si>
  <si>
    <t>TRACTFIPS</t>
  </si>
  <si>
    <t>Census Tract FIPS Code (2014 TIGER/Line)</t>
  </si>
  <si>
    <t>TRAIN</t>
  </si>
  <si>
    <t>Frequency of Train Use for Travel</t>
  </si>
  <si>
    <t>Train/Subway</t>
  </si>
  <si>
    <t>TRAVDAY</t>
  </si>
  <si>
    <t>Travel day - day of week</t>
  </si>
  <si>
    <t>TREGR1</t>
  </si>
  <si>
    <t>Mode(s) Used from Transit to Trip Destination: Walking</t>
  </si>
  <si>
    <t>How did [$YOU1] get from the [$MODETEXT] to [$LOCNAME]?
Please SELECT ALL that apply.</t>
  </si>
  <si>
    <t>TREGR10</t>
  </si>
  <si>
    <t>Mode(s) Used from Transit to Trip Destination: School bus</t>
  </si>
  <si>
    <t>TREGR11</t>
  </si>
  <si>
    <t>Mode(s) Used from Transit to Trip Destination: Public transit or commuter bus</t>
  </si>
  <si>
    <t>TREGR12</t>
  </si>
  <si>
    <t>Mode(s) Used from Transit to Trip Destination: Paratransit / Dial-a-ride</t>
  </si>
  <si>
    <t>TREGR13</t>
  </si>
  <si>
    <t>Mode(s) Used from Transit to Trip Destination: Private / Charter / Tour / Shuttle bus</t>
  </si>
  <si>
    <t>TREGR14</t>
  </si>
  <si>
    <t>Mode(s) Used from Transit to Trip Destination: City-to-city bus (Greyhound / Megabus)</t>
  </si>
  <si>
    <t>TREGR15</t>
  </si>
  <si>
    <t>Mode(s) Used from Transit to Trip Destination: Amtrak / Commuter rail</t>
  </si>
  <si>
    <t>TREGR16</t>
  </si>
  <si>
    <t>Mode(s) Used from Transit to Trip Destination: Subway / Elevated / Light rail / Street car</t>
  </si>
  <si>
    <t>TREGR17</t>
  </si>
  <si>
    <t>Mode(s) Used from Transit to Trip Destination: Taxi / Limo (including Uber / Lyft)</t>
  </si>
  <si>
    <t>TREGR18</t>
  </si>
  <si>
    <t>Mode(s) Used from Transit to Trip Destination: Rental car (including Zipcar / Car2Go)</t>
  </si>
  <si>
    <t>TREGR19</t>
  </si>
  <si>
    <t>Mode(s) Used from Transit to Trip Destination: Airplane</t>
  </si>
  <si>
    <t>TREGR2</t>
  </si>
  <si>
    <t>Mode(s) Used from Transit to Trip Destination: Bicycle</t>
  </si>
  <si>
    <t>TREGR20</t>
  </si>
  <si>
    <t>Mode(s) Used from Transit to Trip Destination: Boat</t>
  </si>
  <si>
    <t>TREGR3</t>
  </si>
  <si>
    <t>Mode(s) Used from Transit to Trip Destination: Car</t>
  </si>
  <si>
    <t>TREGR4</t>
  </si>
  <si>
    <t>Mode(s) Used from Transit to Trip Destination: SUV</t>
  </si>
  <si>
    <t>TREGR5</t>
  </si>
  <si>
    <t>Mode(s) Used from Transit to Trip Destination: Van</t>
  </si>
  <si>
    <t>TREGR6</t>
  </si>
  <si>
    <t>Mode(s) Used from Transit to Trip Destination: Pickup truck</t>
  </si>
  <si>
    <t>TREGR7</t>
  </si>
  <si>
    <t>Mode(s) Used from Transit to Trip Destination: Golf cart / Segway</t>
  </si>
  <si>
    <t>TREGR8</t>
  </si>
  <si>
    <t>Mode(s) Used from Transit to Trip Destination: Motorcycle / Moped</t>
  </si>
  <si>
    <t>TREGR9</t>
  </si>
  <si>
    <t>Mode(s) Used from Transit to Trip Destination: RV (motor home / ATV / snowmobile)</t>
  </si>
  <si>
    <t>TREGRDK</t>
  </si>
  <si>
    <t>Mode(s) Used from Transit to Trip Destination: Does Not Know Answer</t>
  </si>
  <si>
    <t>TREGR_O</t>
  </si>
  <si>
    <t>Mode(s) Used from Transit to Trip Destination: Something else</t>
  </si>
  <si>
    <t>TREGRRF</t>
  </si>
  <si>
    <t>Mode(s) Used from Transit to Trip Destination: Refused to Answer</t>
  </si>
  <si>
    <t>TREGRTM</t>
  </si>
  <si>
    <t>Time to Destination from Transit in Minutes</t>
  </si>
  <si>
    <t xml:space="preserve">How many minutes did it take [$YOU1] to get to [$LOCNAME] from the [$MODETEXT]? </t>
  </si>
  <si>
    <t>TRIP_CODE</t>
  </si>
  <si>
    <t>Household Has at Least One Person with a Travel Day Data Quality Code That Identifies Trip-Related Reporting That Is Not Realistic</t>
  </si>
  <si>
    <t>TRIPPURP</t>
  </si>
  <si>
    <t>Generalized purpose of trip, home-based and non-home based</t>
  </si>
  <si>
    <t>TRPACCMP</t>
  </si>
  <si>
    <t>Count of People on Trip</t>
  </si>
  <si>
    <t>TRPHHACC</t>
  </si>
  <si>
    <t>Count of Household Members on Trip</t>
  </si>
  <si>
    <t>TRPHHVEH</t>
  </si>
  <si>
    <t>Household Vehicle Used on Trip</t>
  </si>
  <si>
    <t>TRPMILES</t>
  </si>
  <si>
    <t>Trip distance in miles, derived from route geometry returned by Google Maps API, or from reported loop-trip distance</t>
  </si>
  <si>
    <t>TRPMILES17</t>
  </si>
  <si>
    <t>Trip distance in miles, derived from route geometry returned by Google Maps API</t>
  </si>
  <si>
    <t>TRPPUB</t>
  </si>
  <si>
    <t>Public Transit Usage on Trip</t>
  </si>
  <si>
    <t>Did [$YOU1] take a bus, subway, train, or some other type of public transportation during this trip?</t>
  </si>
  <si>
    <t>TRPTRANS</t>
  </si>
  <si>
    <t>Trip Mode, derived</t>
  </si>
  <si>
    <t>TRPTRANS17</t>
  </si>
  <si>
    <t>Trip Mode</t>
  </si>
  <si>
    <t>[$MODE_RECALL]</t>
  </si>
  <si>
    <t>TRPTRNOS</t>
  </si>
  <si>
    <t>Trip Mode (Other)</t>
  </si>
  <si>
    <t>How did [$YOU1] get to here?</t>
  </si>
  <si>
    <t>TRVLCMIN</t>
  </si>
  <si>
    <t>Trip Duration in Minutes</t>
  </si>
  <si>
    <t>TRWAITTM</t>
  </si>
  <si>
    <t>Transit wait time in minutes</t>
  </si>
  <si>
    <t>How many minutes did [$YOU1] have to wait for the [$BUS_TRAIN]?</t>
  </si>
  <si>
    <t>URBAN</t>
  </si>
  <si>
    <t>Household's urban area classification, based on home address and 2014 TIGER/Line Shapefile</t>
  </si>
  <si>
    <t>URBANSIZE</t>
  </si>
  <si>
    <t>Urban area size where home address is located</t>
  </si>
  <si>
    <t>URBRUR</t>
  </si>
  <si>
    <t>Household in urban/rural area</t>
  </si>
  <si>
    <t>USEPUBTR</t>
  </si>
  <si>
    <t>Public Transit Usage on Travel Date, derived</t>
  </si>
  <si>
    <t>USEPUBTR17</t>
  </si>
  <si>
    <t>Public Transit Usage on Travel Date</t>
  </si>
  <si>
    <t>Did [$YOU1] use a bus, subway, train, or some other type of public transportation during [$YOUR_THEIR] travel day?</t>
  </si>
  <si>
    <t>VEHAGE</t>
  </si>
  <si>
    <t>Age of vehicle, based on model year</t>
  </si>
  <si>
    <t>VEHID</t>
  </si>
  <si>
    <t>TRIP Table: Household Vehicle Identifier Used on Trip
VEHICLE Table: Vehicle Identifier</t>
  </si>
  <si>
    <t xml:space="preserve">What vehicle was used to get to [$LOCNAME]? </t>
  </si>
  <si>
    <t>VEHMILE2</t>
  </si>
  <si>
    <t>Range of Miles Driven in Vehicle Over Last Year</t>
  </si>
  <si>
    <t>VEHMILES</t>
  </si>
  <si>
    <t>Count of Miles Driven in Vehicle Over Last Year</t>
  </si>
  <si>
    <t>During the past 12 months, about how many miles was the [$VEHYEARTEXT] [$MAKETEXT] [$MODELTEXT] driven by all drivers?</t>
  </si>
  <si>
    <t>VEHOWNED</t>
  </si>
  <si>
    <t>Owned Vehicle Longer than a Year</t>
  </si>
  <si>
    <t>[$HAVE_YOU_CAP:R[$SELPERNO:C]] owned the [$VEHYEARTEXT] [$MAKETEXT] [$MODELTEXT] 1 year or more?</t>
  </si>
  <si>
    <t>VEHOWNMO</t>
  </si>
  <si>
    <t>Months of Vehicle Ownership</t>
  </si>
  <si>
    <t>About how many months [$HAVE_YOU:R[$SELPERNO:C]] owned the [$VEHYEARTEXT] [$MAKETEXT] [$MODELTEXT]?</t>
  </si>
  <si>
    <t>VEHTYOS</t>
  </si>
  <si>
    <t>Vehicle Type (Other)</t>
  </si>
  <si>
    <t xml:space="preserve">Please describe the type of vehicle. </t>
  </si>
  <si>
    <t>VEHTYPE</t>
  </si>
  <si>
    <t>Vehicle Type</t>
  </si>
  <si>
    <t xml:space="preserve">What type of vehicle is the [$VEHYEARTEXT] [$MAKETEXT] [$MODELTEXT]? </t>
  </si>
  <si>
    <t>VEHYEAR</t>
  </si>
  <si>
    <t>Vehicle Year</t>
  </si>
  <si>
    <t>Now, we would like you to tell us about each of the vehicles available to the people that live in your household. 
What's the year of the [$NEW_NEXT] vehicle?</t>
  </si>
  <si>
    <t>VERESTML</t>
  </si>
  <si>
    <t>Confirmation of Estimated Miles Driven in Vehicle</t>
  </si>
  <si>
    <t>You reported that the [$VEHYEARTEXT] [$MAKETEXT] [$MODELTEXT] was driven a total of [$ESTMILES:T] miles by all drivers since [$YOU_HAVE2:R[$SELPERNO:C]] had it.  Please confirm that this is correct?</t>
  </si>
  <si>
    <t>VERMILES</t>
  </si>
  <si>
    <t>Confirmation of Miles Driven in Vehicle</t>
  </si>
  <si>
    <t>You reported that the [$VEHYEARTEXT] [$MAKETEXT] [$MODELTEXT] was driven a total of [$VEHMILES:T] miles by all drivers during the past 12 months. Is this correct?</t>
  </si>
  <si>
    <t>VERYRMIL</t>
  </si>
  <si>
    <t>Confirmation of Miles Personally Driven in Vehicle</t>
  </si>
  <si>
    <t>You just said [$YOU1] personally drove [$YEARMILE:T] miles during the past 12 months.  Is this correct?</t>
  </si>
  <si>
    <t>VMT_MILE</t>
  </si>
  <si>
    <t>Trip distance in miles for personally driven vehicle trips, derived from route geometry returned by Google Maps API</t>
  </si>
  <si>
    <t>VMT_MILE17</t>
  </si>
  <si>
    <t>Trip distance in miles for personally driven vehicle trips, derived from route geometry returned by Google Maps API, or from reported loop-trip distance</t>
  </si>
  <si>
    <t>VPACT</t>
  </si>
  <si>
    <t>Count of Times of Vigorous Physical Activity in Past Week</t>
  </si>
  <si>
    <t>During a typical week how many times [$DO_YOU] do vigorous physical activity for more than 30 minutes?</t>
  </si>
  <si>
    <t>WALK</t>
  </si>
  <si>
    <t>Frequency of Walking for Travel</t>
  </si>
  <si>
    <t>Walk</t>
  </si>
  <si>
    <t>WALK2SAVE</t>
  </si>
  <si>
    <t>Walk to Reduce Financial Burden of Travel</t>
  </si>
  <si>
    <t>I walk to places to save money.</t>
  </si>
  <si>
    <t>WALK4EX</t>
  </si>
  <si>
    <t>Count of Walk Trips for Exercise</t>
  </si>
  <si>
    <t>How many of these walks were strictly for exercise?</t>
  </si>
  <si>
    <t>WALK_D</t>
  </si>
  <si>
    <t xml:space="preserve">Reason for Not Walking More: No nearby paths or trails </t>
  </si>
  <si>
    <t>Which of the following keeps you from walking more? 
Please SELECT ALL that apply.</t>
  </si>
  <si>
    <t>WALK_DK</t>
  </si>
  <si>
    <t>Reason for Not Walking More: Does not know answer</t>
  </si>
  <si>
    <t>WALK_E</t>
  </si>
  <si>
    <t>Reason for Not Walking More: No nearby parks</t>
  </si>
  <si>
    <t>WALK_F</t>
  </si>
  <si>
    <t>Reason for Not Walking More: No sidewalks or sidewalks are in poor condition</t>
  </si>
  <si>
    <t>WALK_G</t>
  </si>
  <si>
    <t>Reason for Not Walking More: Street crossings are unsafe</t>
  </si>
  <si>
    <t>WALK_K</t>
  </si>
  <si>
    <t>Reason for Not Walking More: Heavy traffic with too many cars</t>
  </si>
  <si>
    <t>WALK_Q</t>
  </si>
  <si>
    <t>Reason for Not Walking More: Not enough lighting at night</t>
  </si>
  <si>
    <t>WALK_RF</t>
  </si>
  <si>
    <t>Reason for Not Walking More: Refused to answer</t>
  </si>
  <si>
    <t>WALK_Z</t>
  </si>
  <si>
    <t>Reason for Not Walking More: None of the above</t>
  </si>
  <si>
    <t>W_CANE</t>
  </si>
  <si>
    <t>Medical Device Used: Cane</t>
  </si>
  <si>
    <t>W_CHAIR</t>
  </si>
  <si>
    <t>Medical Device Used: Wheelchair</t>
  </si>
  <si>
    <t>W_CRUTCH</t>
  </si>
  <si>
    <t>Medical Device Used: Crutches</t>
  </si>
  <si>
    <t>W_DOG</t>
  </si>
  <si>
    <t>Medical Device Used: Dog Assistance</t>
  </si>
  <si>
    <t>WEBUSE17</t>
  </si>
  <si>
    <t>Frequency of internet use</t>
  </si>
  <si>
    <t>WHODROVE</t>
  </si>
  <si>
    <t>Person Identifier Who Drove on Trip</t>
  </si>
  <si>
    <t>Who was the driver?</t>
  </si>
  <si>
    <t>WHOMAIN</t>
  </si>
  <si>
    <t>Vehicle Main Driver</t>
  </si>
  <si>
    <t xml:space="preserve">Who is the main driver? </t>
  </si>
  <si>
    <t>WHOPROXY</t>
  </si>
  <si>
    <t>Household Person Identifier Responsible for Trip Reporting</t>
  </si>
  <si>
    <t>WHYFROM</t>
  </si>
  <si>
    <t>Trip Origin Purpose</t>
  </si>
  <si>
    <t>What was [$YOUR2] main activity at [$LOCNAME]?</t>
  </si>
  <si>
    <t>WHYFROM_O</t>
  </si>
  <si>
    <t>Trip Origin Purpose (Other)</t>
  </si>
  <si>
    <t>WHYTO</t>
  </si>
  <si>
    <t>Trip Destination Purpose</t>
  </si>
  <si>
    <t>WHYTRP1S</t>
  </si>
  <si>
    <t>Trip purpose summary</t>
  </si>
  <si>
    <t>WHYTRP90</t>
  </si>
  <si>
    <t>Travel day trip purpose consistent with 1990 NPTS design.</t>
  </si>
  <si>
    <t>WHYTRPSP</t>
  </si>
  <si>
    <t>Trip Destination Purpose (Other)</t>
  </si>
  <si>
    <t>WKBK_DIST</t>
  </si>
  <si>
    <t>Loop trip distance</t>
  </si>
  <si>
    <t>What was the total distance traveled on [$YOUR2] [$MODE] trip (e.g., 1, 5, 10)?</t>
  </si>
  <si>
    <t>WKBK_UNIT</t>
  </si>
  <si>
    <t>Loop trip distance unit</t>
  </si>
  <si>
    <t>WKFMHMXX</t>
  </si>
  <si>
    <t>Count of Days Worked From Home in Last Month</t>
  </si>
  <si>
    <t>In the past 30 days, how many days did [$YOU1] work only from home or an alternate work place?</t>
  </si>
  <si>
    <t>WKFTPT</t>
  </si>
  <si>
    <t>Full-Time or Part-Time Worker</t>
  </si>
  <si>
    <t>[$DO_YOU_CAP2] work full-time or part-time at [$YOUR_THEIR2][$PRIMARY] job?  [$PRIMARY_EXP]
A full time job is at least 35 hours per week.</t>
  </si>
  <si>
    <t>WKRMHM</t>
  </si>
  <si>
    <t>Option of Working from Home</t>
  </si>
  <si>
    <t>[$DO_YOU_CAP] have the option of working from home or an alternate location instead of going into [$YOUR_THEIR][$PRIMARY] workplace?</t>
  </si>
  <si>
    <t>WKSTFIPS</t>
  </si>
  <si>
    <t xml:space="preserve">The state FIPS code for the respondent's geocoded work address. The state FIPS codes were identified using United States Census Bureau 2016 TIGER/Line Shapefiles. </t>
  </si>
  <si>
    <t>W_MTRCHR</t>
  </si>
  <si>
    <t>Medical Device Used: Motorized Wheelchair</t>
  </si>
  <si>
    <t>W_NONE</t>
  </si>
  <si>
    <t>Medical Device Used: None</t>
  </si>
  <si>
    <t>WORKER</t>
  </si>
  <si>
    <t>Worker status</t>
  </si>
  <si>
    <t>WORKER_IMP</t>
  </si>
  <si>
    <t>Worker status (imputed)</t>
  </si>
  <si>
    <t>WRKAMPM</t>
  </si>
  <si>
    <t>Arrival Time at Work: AM/PM</t>
  </si>
  <si>
    <t>WRKCOUNT</t>
  </si>
  <si>
    <t>Number of workers in household</t>
  </si>
  <si>
    <t>WRK_HOME</t>
  </si>
  <si>
    <t>Work from Home</t>
  </si>
  <si>
    <t>[$DO_YOU_CAP2] usually work from home?</t>
  </si>
  <si>
    <t>WRKHR</t>
  </si>
  <si>
    <t>Arrival Time at Work: Hour</t>
  </si>
  <si>
    <t>WRKMIN</t>
  </si>
  <si>
    <t>Arrival Time at Work: Minute</t>
  </si>
  <si>
    <t>WRKTIME</t>
  </si>
  <si>
    <t>Arrival Time at Work</t>
  </si>
  <si>
    <t>What time [$DO_YOU] usually arrive at [$YOUR_THEIR][$PRIMARY] job (e.g. 8:15 AM)?</t>
  </si>
  <si>
    <t>WRKTRANS</t>
  </si>
  <si>
    <t>Mode to Work</t>
  </si>
  <si>
    <t>How did [$YOU2] usually get to [$YOUR_THEIR2][$PRIMARY] job last week?  If you used more than one mode of transportation, please select the one used for most of the distance.</t>
  </si>
  <si>
    <t>WRKTRNOS</t>
  </si>
  <si>
    <t>Mode to Work (Other)</t>
  </si>
  <si>
    <t>How did [$YOU2] usually get to work last week?</t>
  </si>
  <si>
    <t>W_SCOOTR</t>
  </si>
  <si>
    <t>Medical Device Used: Motorized Scooter</t>
  </si>
  <si>
    <t>W_WHCANE</t>
  </si>
  <si>
    <t>Medical Device Used: White Cane</t>
  </si>
  <si>
    <t>W_WLKR</t>
  </si>
  <si>
    <t>Medical Device Used: Walker</t>
  </si>
  <si>
    <t>YEARMIL2</t>
  </si>
  <si>
    <t>Range of Miles Personally Driven in all Vehicles</t>
  </si>
  <si>
    <t>YEARMILE</t>
  </si>
  <si>
    <t>Miles Personally Driven in all Vehicles</t>
  </si>
  <si>
    <t>Please provide your best guess as to how many miles [$YOU1] personally drove during the past 12 months in all motorized vehicles.
Include all miles from work vehicles, rental cars and any other vehicles that are not owned by your household.</t>
  </si>
  <si>
    <t>YOUNGCHILD</t>
  </si>
  <si>
    <t>Count of persons with an age between 0 and 4 in household</t>
  </si>
  <si>
    <t>YRTOUS</t>
  </si>
  <si>
    <t>Year of Arrival in United States</t>
  </si>
  <si>
    <t xml:space="preserve">In what year did [$YOU1] come to the United States? </t>
  </si>
  <si>
    <t>YRTOUS2</t>
  </si>
  <si>
    <t>Range of Year of Arrival in United States</t>
  </si>
  <si>
    <t>Was it...</t>
  </si>
  <si>
    <t>ZIP</t>
  </si>
  <si>
    <t>Postal ZIP Code</t>
  </si>
  <si>
    <t>TABLE</t>
  </si>
  <si>
    <t>VALUE</t>
  </si>
  <si>
    <t>PERSON</t>
  </si>
  <si>
    <t>-8</t>
  </si>
  <si>
    <t>I don't know</t>
  </si>
  <si>
    <t>-7</t>
  </si>
  <si>
    <t>I prefer not to answer</t>
  </si>
  <si>
    <t>-1</t>
  </si>
  <si>
    <t>Appropriate skip</t>
  </si>
  <si>
    <t>01</t>
  </si>
  <si>
    <t xml:space="preserve">0-4 years old </t>
  </si>
  <si>
    <t>02</t>
  </si>
  <si>
    <t>5-15 years old</t>
  </si>
  <si>
    <t>03</t>
  </si>
  <si>
    <t>16-17 years old</t>
  </si>
  <si>
    <t>04</t>
  </si>
  <si>
    <t>18-64 years old</t>
  </si>
  <si>
    <t>05</t>
  </si>
  <si>
    <t>65-75 years old</t>
  </si>
  <si>
    <t>06</t>
  </si>
  <si>
    <t>76 years old or older</t>
  </si>
  <si>
    <t>HOUSEHOLD</t>
  </si>
  <si>
    <t>Flight fares</t>
  </si>
  <si>
    <t>Flight times</t>
  </si>
  <si>
    <t>Flight frequency</t>
  </si>
  <si>
    <t>Airline brand availability / loyalty</t>
  </si>
  <si>
    <t>Distance to airport</t>
  </si>
  <si>
    <t>Parking facilities</t>
  </si>
  <si>
    <t>07</t>
  </si>
  <si>
    <t>Airport customer service &amp; facilities</t>
  </si>
  <si>
    <t>08</t>
  </si>
  <si>
    <t>Weather / season of the year</t>
  </si>
  <si>
    <t>-9</t>
  </si>
  <si>
    <t>Not ascertained</t>
  </si>
  <si>
    <t>Public transportation (bus, subway, light rail, etc.)</t>
  </si>
  <si>
    <t>Get a ride from a friend or family member</t>
  </si>
  <si>
    <t>Rental car (including Zipcar / Car2Go)</t>
  </si>
  <si>
    <t>Bicycle</t>
  </si>
  <si>
    <t xml:space="preserve">Taxi (regular taxi, Uber, Lyft, etc.) </t>
  </si>
  <si>
    <t>None</t>
  </si>
  <si>
    <t>97</t>
  </si>
  <si>
    <t>Something Else</t>
  </si>
  <si>
    <t>VEHICLE</t>
  </si>
  <si>
    <t>Work</t>
  </si>
  <si>
    <t xml:space="preserve">Work-related meeting / trip </t>
  </si>
  <si>
    <t>Volunteer activities (not paid)</t>
  </si>
  <si>
    <t>Drop off /pick up someone</t>
  </si>
  <si>
    <t>Change type of transportation</t>
  </si>
  <si>
    <t>Attend school as a student</t>
  </si>
  <si>
    <t>09</t>
  </si>
  <si>
    <t>Attend child care</t>
  </si>
  <si>
    <t>10</t>
  </si>
  <si>
    <t xml:space="preserve">Attend adult care </t>
  </si>
  <si>
    <t>11</t>
  </si>
  <si>
    <t>Buy goods (groceries, clothes, appliances, gas)</t>
  </si>
  <si>
    <t>12</t>
  </si>
  <si>
    <t>Buy services (dry cleaners, banking, service a car, pet care)</t>
  </si>
  <si>
    <t>13</t>
  </si>
  <si>
    <t>Buy meals (go out for a meal, snack, carry-out)</t>
  </si>
  <si>
    <t>14</t>
  </si>
  <si>
    <t>Other general errands (post office, library)</t>
  </si>
  <si>
    <t>15</t>
  </si>
  <si>
    <t>Recreational activities (visit parks, movies, bars, museums)</t>
  </si>
  <si>
    <t>16</t>
  </si>
  <si>
    <t>Exercise (go for a jog, walk, walk the dog, go to the gym)</t>
  </si>
  <si>
    <t>17</t>
  </si>
  <si>
    <t>Visit friends or relatives</t>
  </si>
  <si>
    <t>18</t>
  </si>
  <si>
    <t>Health care visit (medical, dental, therapy)</t>
  </si>
  <si>
    <t>19</t>
  </si>
  <si>
    <t>Religious or other community activities</t>
  </si>
  <si>
    <t>Something else</t>
  </si>
  <si>
    <t>Regular home activities (chores, sleep)</t>
  </si>
  <si>
    <t>Work from home (paid)</t>
  </si>
  <si>
    <t xml:space="preserve">I prefer not to answer </t>
  </si>
  <si>
    <t xml:space="preserve">Daily </t>
  </si>
  <si>
    <t xml:space="preserve">A few times a week </t>
  </si>
  <si>
    <t xml:space="preserve">A few times a month </t>
  </si>
  <si>
    <t xml:space="preserve">A few times a year </t>
  </si>
  <si>
    <t>Never</t>
  </si>
  <si>
    <t xml:space="preserve">I don't know </t>
  </si>
  <si>
    <t>Strongly agree</t>
  </si>
  <si>
    <t>Agree</t>
  </si>
  <si>
    <t>Neither Agreeor Disagree</t>
  </si>
  <si>
    <t>Disagree</t>
  </si>
  <si>
    <t>Strongly disagree</t>
  </si>
  <si>
    <t>No nearby paths or trails</t>
  </si>
  <si>
    <t xml:space="preserve">No nearby parks </t>
  </si>
  <si>
    <t>No sidewalks or sidewalks are in poor condition</t>
  </si>
  <si>
    <t xml:space="preserve">Street crossings are unsafe </t>
  </si>
  <si>
    <t>Heavy traffic with too many cars</t>
  </si>
  <si>
    <t>Not enough lighting at night</t>
  </si>
  <si>
    <t>None of the above</t>
  </si>
  <si>
    <t>LOCATION</t>
  </si>
  <si>
    <t>Yes</t>
  </si>
  <si>
    <t>No</t>
  </si>
  <si>
    <t>Daily</t>
  </si>
  <si>
    <t>A few times a week</t>
  </si>
  <si>
    <t>New England (ME, NH, VT, CT, MA, RI) MSA or CMSA of 1 million or more with heavy rail</t>
  </si>
  <si>
    <t>New England (ME, NH, VT, CT, MA, RI) MSA or CMSA of 1 million or more without heavy rail</t>
  </si>
  <si>
    <t>New England (ME, NH, VT, CT, MA, RI) MSA of less than 1 million</t>
  </si>
  <si>
    <t>New England (ME, NH, VT, CT, MA, RI) Not in a MSA</t>
  </si>
  <si>
    <t>21</t>
  </si>
  <si>
    <t>Mid-Atlantic (NY, NJ, PA) MSA or CMSA of 1 million or more with heavy rail</t>
  </si>
  <si>
    <t>22</t>
  </si>
  <si>
    <t>Mid-Atlantic (NY, NJ, PA) MSA or CMSA of 1 million or more without heavy rail</t>
  </si>
  <si>
    <t>23</t>
  </si>
  <si>
    <t>Mid-Atlantic (NY, NJ, PA) MSA of less than 1 million</t>
  </si>
  <si>
    <t>24</t>
  </si>
  <si>
    <t>Mid-Atlantic (NY, NJ, PA) Not in a MSA</t>
  </si>
  <si>
    <t>31</t>
  </si>
  <si>
    <t>East North Central (IL, IN, MI, OH, WI) MSA or CMSA of 1 million or more with heavy rail</t>
  </si>
  <si>
    <t>32</t>
  </si>
  <si>
    <t>East North Central (IL, IN, MI, OH, WI) MSA or CMSA of 1 million or more without heavy rail</t>
  </si>
  <si>
    <t>33</t>
  </si>
  <si>
    <t>East North Central (IL, IN, MI, OH, WI) MSA of less than 1 million</t>
  </si>
  <si>
    <t>34</t>
  </si>
  <si>
    <t>East North Central (IL, IN, MI, OH, WI) Not in a MSA</t>
  </si>
  <si>
    <t>41</t>
  </si>
  <si>
    <t>West North Central (IA, KS, MO, MN, ND, NE, SD) MSA or CMSA of 1 million or more with heavy rail</t>
  </si>
  <si>
    <t>42</t>
  </si>
  <si>
    <t>West North Central (IA, KS, MO, MN, ND, NE, SD) MSA or CMSA of 1 million or more without heavy rail</t>
  </si>
  <si>
    <t>43</t>
  </si>
  <si>
    <t>West North Central (IA, KS, MO, MN, ND, NE, SD) MSA of less than 1 million</t>
  </si>
  <si>
    <t>44</t>
  </si>
  <si>
    <t>West North Central (IA, KS, MO, MN, ND, NE, SD) Not in a MSA</t>
  </si>
  <si>
    <t>51</t>
  </si>
  <si>
    <t>South Atlantic (DE, FL, GA, MD, NC, SC, WV, VA) MSA or CMSA of 1 million or more with heavy rail</t>
  </si>
  <si>
    <t>52</t>
  </si>
  <si>
    <t>South Atlantic (DE, FL, GA, MD, NC, SC, WV, VA) MSA or CMSA of 1 million or more without heavy rail</t>
  </si>
  <si>
    <t>53</t>
  </si>
  <si>
    <t>South Atlantic (DE, FL, GA, MD, NC, SC, WV, VA) MSA of less than 1 million</t>
  </si>
  <si>
    <t>54</t>
  </si>
  <si>
    <t>South Atlantic (DE, FL, GA, MD, NC, SC, WV, VA) Not in a MSA</t>
  </si>
  <si>
    <t>61</t>
  </si>
  <si>
    <t>East South Central (AL, KY, MS, TN) MSA or CMSA of 1 million or more with heavy rail</t>
  </si>
  <si>
    <t>62</t>
  </si>
  <si>
    <t>East South Central (AL, KY, MS, TN) MSA or CMSA of 1 million or more without heavy rail</t>
  </si>
  <si>
    <t>63</t>
  </si>
  <si>
    <t>East South Central (AL, KY, MS, TN) MSA of less than 1 million</t>
  </si>
  <si>
    <t>64</t>
  </si>
  <si>
    <t>East South Central (AL, KY, MS, TN) Not in a MSA</t>
  </si>
  <si>
    <t>71</t>
  </si>
  <si>
    <t>West South Central (AR, LA, OK, TX) MSA or CMSA of 1 million or more with heavy rail</t>
  </si>
  <si>
    <t>72</t>
  </si>
  <si>
    <t>West South Central (AR, LA, OK, TX) MSA or CMSA of 1 million or more without heavy rail</t>
  </si>
  <si>
    <t>73</t>
  </si>
  <si>
    <t>West South Central (AR, LA, OK, TX) MSA of less than 1 million</t>
  </si>
  <si>
    <t>74</t>
  </si>
  <si>
    <t>West South Central (AR, LA, OK, TX) Not in a MSA</t>
  </si>
  <si>
    <t>81</t>
  </si>
  <si>
    <t>Mountain (AZ, CO, ID, MT, NM, NV, UT, WY) MSA or CMSA of 1 million or more with heavy rail</t>
  </si>
  <si>
    <t>82</t>
  </si>
  <si>
    <t>Mountain (AZ, CO, ID, MT, NM, NV, UT, WY) MSA or CMSA of 1 million or more without heavy rail</t>
  </si>
  <si>
    <t>83</t>
  </si>
  <si>
    <t>Mountain (AZ, CO, ID, MT, NM, NV, UT, WY) MSA of less than 1 million</t>
  </si>
  <si>
    <t>84</t>
  </si>
  <si>
    <t>Mountain (AZ, CO, ID, MT, NM, NV, UT, WY) Not in a MSA</t>
  </si>
  <si>
    <t>91</t>
  </si>
  <si>
    <t>Pacific (AK, CA, HI, OR, WA) MSA or CMSA of 1 million or more with heavy rail</t>
  </si>
  <si>
    <t>92</t>
  </si>
  <si>
    <t>Pacific (AK, CA, HI, OR, WA) MSA or CMSA of 1 million or more without heavy rail</t>
  </si>
  <si>
    <t>93</t>
  </si>
  <si>
    <t>Pacific (AK, CA, HI, OR, WA) MSA of less than 1 million</t>
  </si>
  <si>
    <t>94</t>
  </si>
  <si>
    <t>Pacific (AK, CA, HI, OR, WA) Not in a MSA</t>
  </si>
  <si>
    <t>New England</t>
  </si>
  <si>
    <t>Middle Atlantic</t>
  </si>
  <si>
    <t>East North Central</t>
  </si>
  <si>
    <t>West North Central</t>
  </si>
  <si>
    <t>South Atlantic</t>
  </si>
  <si>
    <t>East South Central</t>
  </si>
  <si>
    <t>West South Central</t>
  </si>
  <si>
    <t>Mountain</t>
  </si>
  <si>
    <t>Pacific</t>
  </si>
  <si>
    <t>Northeast</t>
  </si>
  <si>
    <t>Midwest</t>
  </si>
  <si>
    <t>South</t>
  </si>
  <si>
    <t>West</t>
  </si>
  <si>
    <t>Reduced [$YOUR2] day-to-day travel</t>
  </si>
  <si>
    <t>Asked others for rides</t>
  </si>
  <si>
    <t>Limited driving to daytime</t>
  </si>
  <si>
    <t>Given up driving altogether</t>
  </si>
  <si>
    <t>Used the bus or subway less frequently</t>
  </si>
  <si>
    <t>Used special transportation services such as Dial-A-Ride</t>
  </si>
  <si>
    <t>Used a reduced fare taxi</t>
  </si>
  <si>
    <t xml:space="preserve">No </t>
  </si>
  <si>
    <t>TRIP</t>
  </si>
  <si>
    <t xml:space="preserve">Parked </t>
  </si>
  <si>
    <t>Dropped off</t>
  </si>
  <si>
    <t>Walked / Biked to [$BUS_TRAIN]</t>
  </si>
  <si>
    <t>Less than a high school graduate</t>
  </si>
  <si>
    <t>High school graduate or GED</t>
  </si>
  <si>
    <t>Some college or associates degree</t>
  </si>
  <si>
    <t>Bachelor's degree</t>
  </si>
  <si>
    <t>Graduate degree or professional degree</t>
  </si>
  <si>
    <t>5,000 miles or less</t>
  </si>
  <si>
    <t>5,001 to 10,000 miles</t>
  </si>
  <si>
    <t>10,001 to 15,000 miles</t>
  </si>
  <si>
    <t>15,001 to 20,000 miles, or</t>
  </si>
  <si>
    <t>More than 20,000 miles?</t>
  </si>
  <si>
    <t>-88</t>
  </si>
  <si>
    <t>-77</t>
  </si>
  <si>
    <t>Gas</t>
  </si>
  <si>
    <t>Diesel</t>
  </si>
  <si>
    <t xml:space="preserve">Hybrid, electric or alternative fuel </t>
  </si>
  <si>
    <t xml:space="preserve">Some other fuel </t>
  </si>
  <si>
    <t>0</t>
  </si>
  <si>
    <t>0-4%</t>
  </si>
  <si>
    <t>5-14%</t>
  </si>
  <si>
    <t>20</t>
  </si>
  <si>
    <t>15-24%</t>
  </si>
  <si>
    <t>30</t>
  </si>
  <si>
    <t>25-34%</t>
  </si>
  <si>
    <t>40</t>
  </si>
  <si>
    <t>35-44%</t>
  </si>
  <si>
    <t>50</t>
  </si>
  <si>
    <t>45-54%</t>
  </si>
  <si>
    <t>60</t>
  </si>
  <si>
    <t>55-64%</t>
  </si>
  <si>
    <t>70</t>
  </si>
  <si>
    <t>65-74%</t>
  </si>
  <si>
    <t>80</t>
  </si>
  <si>
    <t>75-84%</t>
  </si>
  <si>
    <t>90</t>
  </si>
  <si>
    <t>85-94%</t>
  </si>
  <si>
    <t>95</t>
  </si>
  <si>
    <t>95-100%</t>
  </si>
  <si>
    <t>0-99</t>
  </si>
  <si>
    <t>300</t>
  </si>
  <si>
    <t>100-499</t>
  </si>
  <si>
    <t>750</t>
  </si>
  <si>
    <t>500-999</t>
  </si>
  <si>
    <t>1500</t>
  </si>
  <si>
    <t>1,000-1,999</t>
  </si>
  <si>
    <t>3000</t>
  </si>
  <si>
    <t>2,000-3,999</t>
  </si>
  <si>
    <t>7000</t>
  </si>
  <si>
    <t>4,000-9,999</t>
  </si>
  <si>
    <t>17000</t>
  </si>
  <si>
    <t>10,000-24,999</t>
  </si>
  <si>
    <t>30000</t>
  </si>
  <si>
    <t>25,000-999,999</t>
  </si>
  <si>
    <t>Excellent</t>
  </si>
  <si>
    <t>Very good</t>
  </si>
  <si>
    <t>Good</t>
  </si>
  <si>
    <t>Fair</t>
  </si>
  <si>
    <t>Poor</t>
  </si>
  <si>
    <t xml:space="preserve">Biodiesel </t>
  </si>
  <si>
    <t>Plug-in Hybrid (gas/electric e.g., Chevy Volt)</t>
  </si>
  <si>
    <t>Electric (e.g. Nissan Leaf)</t>
  </si>
  <si>
    <t>Hybrid (gas/electric, not plug-in e.g., Toyota Prius)</t>
  </si>
  <si>
    <t>10100</t>
  </si>
  <si>
    <t>Aberdeen, SD</t>
  </si>
  <si>
    <t>10140</t>
  </si>
  <si>
    <t>Aberdeen, WA</t>
  </si>
  <si>
    <t>10180</t>
  </si>
  <si>
    <t>Abilene, TX</t>
  </si>
  <si>
    <t>10300</t>
  </si>
  <si>
    <t>Adrian, MI</t>
  </si>
  <si>
    <t>10420</t>
  </si>
  <si>
    <t>Akron, OH</t>
  </si>
  <si>
    <t>10460</t>
  </si>
  <si>
    <t>Alamogordo, NM</t>
  </si>
  <si>
    <t>10500</t>
  </si>
  <si>
    <t>Albany, GA</t>
  </si>
  <si>
    <t>10540</t>
  </si>
  <si>
    <t>Albany, OR</t>
  </si>
  <si>
    <t>10580</t>
  </si>
  <si>
    <t>Albany-Schenectady-Troy, NY</t>
  </si>
  <si>
    <t>10620</t>
  </si>
  <si>
    <t>Albemarle, NC</t>
  </si>
  <si>
    <t>10660</t>
  </si>
  <si>
    <t>Albert Lea, MN</t>
  </si>
  <si>
    <t>10700</t>
  </si>
  <si>
    <t>Albertville, AL</t>
  </si>
  <si>
    <t>10740</t>
  </si>
  <si>
    <t>Albuquerque, NM</t>
  </si>
  <si>
    <t>10780</t>
  </si>
  <si>
    <t>Alexandria, LA</t>
  </si>
  <si>
    <t>10820</t>
  </si>
  <si>
    <t>Alexandria, MN</t>
  </si>
  <si>
    <t>10860</t>
  </si>
  <si>
    <t>Alice, TX</t>
  </si>
  <si>
    <t>10900</t>
  </si>
  <si>
    <t>Allentown-Bethlehem-Easton, PA-NJ</t>
  </si>
  <si>
    <t>10940</t>
  </si>
  <si>
    <t>Alma, MI</t>
  </si>
  <si>
    <t>10980</t>
  </si>
  <si>
    <t>Alpena, MI</t>
  </si>
  <si>
    <t>11020</t>
  </si>
  <si>
    <t>Altoona, PA</t>
  </si>
  <si>
    <t>11060</t>
  </si>
  <si>
    <t>Altus, OK</t>
  </si>
  <si>
    <t>11100</t>
  </si>
  <si>
    <t>Amarillo, TX</t>
  </si>
  <si>
    <t>11140</t>
  </si>
  <si>
    <t>Americus, GA</t>
  </si>
  <si>
    <t>11180</t>
  </si>
  <si>
    <t>Ames, IA</t>
  </si>
  <si>
    <t>11220</t>
  </si>
  <si>
    <t>Amsterdam, NY</t>
  </si>
  <si>
    <t>11260</t>
  </si>
  <si>
    <t>Anchorage, AK</t>
  </si>
  <si>
    <t>11380</t>
  </si>
  <si>
    <t>Andrews, TX</t>
  </si>
  <si>
    <t>11420</t>
  </si>
  <si>
    <t>Angola, IN</t>
  </si>
  <si>
    <t>11460</t>
  </si>
  <si>
    <t>Ann Arbor, MI</t>
  </si>
  <si>
    <t>11500</t>
  </si>
  <si>
    <t>Anniston-Oxford-Jacksonville, AL</t>
  </si>
  <si>
    <t>11540</t>
  </si>
  <si>
    <t>Appleton, WI</t>
  </si>
  <si>
    <t>11580</t>
  </si>
  <si>
    <t>Arcadia, FL</t>
  </si>
  <si>
    <t>11620</t>
  </si>
  <si>
    <t>Ardmore, OK</t>
  </si>
  <si>
    <t>11680</t>
  </si>
  <si>
    <t>Arkansas City-Winfield, KS</t>
  </si>
  <si>
    <t>11700</t>
  </si>
  <si>
    <t>Asheville, NC</t>
  </si>
  <si>
    <t>11740</t>
  </si>
  <si>
    <t>Ashland, OH</t>
  </si>
  <si>
    <t>11780</t>
  </si>
  <si>
    <t>Ashtabula, OH</t>
  </si>
  <si>
    <t>11820</t>
  </si>
  <si>
    <t>Astoria, OR</t>
  </si>
  <si>
    <t>11860</t>
  </si>
  <si>
    <t>Atchison, KS</t>
  </si>
  <si>
    <t>11900</t>
  </si>
  <si>
    <t>Athens, OH</t>
  </si>
  <si>
    <t>11940</t>
  </si>
  <si>
    <t>Athens, TN</t>
  </si>
  <si>
    <t>11980</t>
  </si>
  <si>
    <t>Athens, TX</t>
  </si>
  <si>
    <t>12020</t>
  </si>
  <si>
    <t>Athens-Clarke County, GA</t>
  </si>
  <si>
    <t>12060</t>
  </si>
  <si>
    <t>Atlanta-Sandy Springs-Roswell, GA</t>
  </si>
  <si>
    <t>12100</t>
  </si>
  <si>
    <t>Atlantic City-Hammonton, NJ</t>
  </si>
  <si>
    <t>12140</t>
  </si>
  <si>
    <t>Auburn, IN</t>
  </si>
  <si>
    <t>12180</t>
  </si>
  <si>
    <t>Auburn, NY</t>
  </si>
  <si>
    <t>12220</t>
  </si>
  <si>
    <t>Auburn-Opelika, AL</t>
  </si>
  <si>
    <t>12260</t>
  </si>
  <si>
    <t>Augusta-Richmond County, GA-SC</t>
  </si>
  <si>
    <t>12300</t>
  </si>
  <si>
    <t>Augusta-Waterville, ME</t>
  </si>
  <si>
    <t>12380</t>
  </si>
  <si>
    <t>Austin, MN</t>
  </si>
  <si>
    <t>12420</t>
  </si>
  <si>
    <t>Austin-Round Rock, TX</t>
  </si>
  <si>
    <t>12460</t>
  </si>
  <si>
    <t>Bainbridge, GA</t>
  </si>
  <si>
    <t>12540</t>
  </si>
  <si>
    <t>Bakersfield, CA</t>
  </si>
  <si>
    <t>12580</t>
  </si>
  <si>
    <t>Baltimore-Columbia-Towson, MD</t>
  </si>
  <si>
    <t>12620</t>
  </si>
  <si>
    <t>Bangor, ME</t>
  </si>
  <si>
    <t>12660</t>
  </si>
  <si>
    <t>Baraboo, WI</t>
  </si>
  <si>
    <t>12680</t>
  </si>
  <si>
    <t>Bardstown, KY</t>
  </si>
  <si>
    <t>12700</t>
  </si>
  <si>
    <t>Barnstable Town, MA</t>
  </si>
  <si>
    <t>12740</t>
  </si>
  <si>
    <t>Barre, VT</t>
  </si>
  <si>
    <t>12780</t>
  </si>
  <si>
    <t>Bartlesville, OK</t>
  </si>
  <si>
    <t>12820</t>
  </si>
  <si>
    <t>Bastrop, LA</t>
  </si>
  <si>
    <t>12860</t>
  </si>
  <si>
    <t>Batavia, NY</t>
  </si>
  <si>
    <t>12940</t>
  </si>
  <si>
    <t>Baton Rouge, LA</t>
  </si>
  <si>
    <t>12980</t>
  </si>
  <si>
    <t>Battle Creek, MI</t>
  </si>
  <si>
    <t>13020</t>
  </si>
  <si>
    <t>Bay City, MI</t>
  </si>
  <si>
    <t>13060</t>
  </si>
  <si>
    <t>Bay City, TX</t>
  </si>
  <si>
    <t>13100</t>
  </si>
  <si>
    <t>Beatrice, NE</t>
  </si>
  <si>
    <t>13140</t>
  </si>
  <si>
    <t>Beaumont-Port Arthur, TX</t>
  </si>
  <si>
    <t>13180</t>
  </si>
  <si>
    <t>Beaver Dam, WI</t>
  </si>
  <si>
    <t>13220</t>
  </si>
  <si>
    <t>Beckley, WV</t>
  </si>
  <si>
    <t>13300</t>
  </si>
  <si>
    <t>Beeville, TX</t>
  </si>
  <si>
    <t>13380</t>
  </si>
  <si>
    <t>Bellingham, WA</t>
  </si>
  <si>
    <t>13420</t>
  </si>
  <si>
    <t>Bemidji, MN</t>
  </si>
  <si>
    <t>13460</t>
  </si>
  <si>
    <t>Bend-Redmond, OR</t>
  </si>
  <si>
    <t>13500</t>
  </si>
  <si>
    <t>Bennettsville, SC</t>
  </si>
  <si>
    <t>13540</t>
  </si>
  <si>
    <t>Bennington, VT</t>
  </si>
  <si>
    <t>13620</t>
  </si>
  <si>
    <t>Berlin, NH-VT</t>
  </si>
  <si>
    <t>13660</t>
  </si>
  <si>
    <t>Big Rapids, MI</t>
  </si>
  <si>
    <t>13700</t>
  </si>
  <si>
    <t>Big Spring, TX</t>
  </si>
  <si>
    <t>13720</t>
  </si>
  <si>
    <t>Big Stone Gap, VA</t>
  </si>
  <si>
    <t>13740</t>
  </si>
  <si>
    <t>Billings, MT</t>
  </si>
  <si>
    <t>13780</t>
  </si>
  <si>
    <t>Binghamton, NY</t>
  </si>
  <si>
    <t>13820</t>
  </si>
  <si>
    <t>Birmingham-Hoover, AL</t>
  </si>
  <si>
    <t>13900</t>
  </si>
  <si>
    <t>Bismarck, ND</t>
  </si>
  <si>
    <t>13940</t>
  </si>
  <si>
    <t>Blackfoot, ID</t>
  </si>
  <si>
    <t>13980</t>
  </si>
  <si>
    <t>Blacksburg-Christiansburg-Radford, VA</t>
  </si>
  <si>
    <t>14010</t>
  </si>
  <si>
    <t>Bloomington, IL</t>
  </si>
  <si>
    <t>14020</t>
  </si>
  <si>
    <t>Bloomington, IN</t>
  </si>
  <si>
    <t>14100</t>
  </si>
  <si>
    <t>Bloomsburg-Berwick, PA</t>
  </si>
  <si>
    <t>14140</t>
  </si>
  <si>
    <t>Bluefield, WV-VA</t>
  </si>
  <si>
    <t>14180</t>
  </si>
  <si>
    <t>Blytheville, AR</t>
  </si>
  <si>
    <t>14220</t>
  </si>
  <si>
    <t>Bogalusa, LA</t>
  </si>
  <si>
    <t>14260</t>
  </si>
  <si>
    <t>Boise City, ID</t>
  </si>
  <si>
    <t>14340</t>
  </si>
  <si>
    <t>Boone, IA</t>
  </si>
  <si>
    <t>14380</t>
  </si>
  <si>
    <t>Boone, NC</t>
  </si>
  <si>
    <t>14420</t>
  </si>
  <si>
    <t>Borger, TX</t>
  </si>
  <si>
    <t>14460</t>
  </si>
  <si>
    <t>Boston-Cambridge-Newton, MA-NH</t>
  </si>
  <si>
    <t>14500</t>
  </si>
  <si>
    <t>Boulder, CO</t>
  </si>
  <si>
    <t>14540</t>
  </si>
  <si>
    <t>Bowling Green, KY</t>
  </si>
  <si>
    <t>14580</t>
  </si>
  <si>
    <t>Bozeman, MT</t>
  </si>
  <si>
    <t>14620</t>
  </si>
  <si>
    <t>Bradford, PA</t>
  </si>
  <si>
    <t>14660</t>
  </si>
  <si>
    <t>Brainerd, MN</t>
  </si>
  <si>
    <t>14700</t>
  </si>
  <si>
    <t>Branson, MO</t>
  </si>
  <si>
    <t>14720</t>
  </si>
  <si>
    <t>Breckenridge, CO</t>
  </si>
  <si>
    <t>14740</t>
  </si>
  <si>
    <t>Bremerton-Silverdale, WA</t>
  </si>
  <si>
    <t>14780</t>
  </si>
  <si>
    <t>Brenham, TX</t>
  </si>
  <si>
    <t>14820</t>
  </si>
  <si>
    <t>Brevard, NC</t>
  </si>
  <si>
    <t>14860</t>
  </si>
  <si>
    <t>Bridgeport-Stamford-Norwalk, CT</t>
  </si>
  <si>
    <t>15100</t>
  </si>
  <si>
    <t>Brookings, SD</t>
  </si>
  <si>
    <t>15180</t>
  </si>
  <si>
    <t>Brownsville-Harlingen, TX</t>
  </si>
  <si>
    <t>15220</t>
  </si>
  <si>
    <t>Brownwood, TX</t>
  </si>
  <si>
    <t>15260</t>
  </si>
  <si>
    <t>Brunswick, GA</t>
  </si>
  <si>
    <t>15340</t>
  </si>
  <si>
    <t>Bucyrus, OH</t>
  </si>
  <si>
    <t>15380</t>
  </si>
  <si>
    <t>Buffalo-Cheektowaga-Niagara Falls, NY</t>
  </si>
  <si>
    <t>15420</t>
  </si>
  <si>
    <t>Burley, ID</t>
  </si>
  <si>
    <t>15460</t>
  </si>
  <si>
    <t>Burlington, IA-IL</t>
  </si>
  <si>
    <t>15500</t>
  </si>
  <si>
    <t>Burlington, NC</t>
  </si>
  <si>
    <t>15540</t>
  </si>
  <si>
    <t>Burlington-South Burlington, VT</t>
  </si>
  <si>
    <t>15580</t>
  </si>
  <si>
    <t>Butte-Silver Bow, MT</t>
  </si>
  <si>
    <t>15620</t>
  </si>
  <si>
    <t>Cadillac, MI</t>
  </si>
  <si>
    <t>15660</t>
  </si>
  <si>
    <t>Calhoun, GA</t>
  </si>
  <si>
    <t>15680</t>
  </si>
  <si>
    <t>California-Lexington Park, MD</t>
  </si>
  <si>
    <t>15700</t>
  </si>
  <si>
    <t>Cambridge, MD</t>
  </si>
  <si>
    <t>15740</t>
  </si>
  <si>
    <t>Cambridge, OH</t>
  </si>
  <si>
    <t>15780</t>
  </si>
  <si>
    <t>Camden, AR</t>
  </si>
  <si>
    <t>15820</t>
  </si>
  <si>
    <t>Campbellsville, KY</t>
  </si>
  <si>
    <t>15860</t>
  </si>
  <si>
    <t>CaÃ±on City, CO</t>
  </si>
  <si>
    <t>15900</t>
  </si>
  <si>
    <t>Canton, IL</t>
  </si>
  <si>
    <t>15940</t>
  </si>
  <si>
    <t>Canton-Massillon, OH</t>
  </si>
  <si>
    <t>15980</t>
  </si>
  <si>
    <t>Cape Coral-Fort Myers, FL</t>
  </si>
  <si>
    <t>16020</t>
  </si>
  <si>
    <t>Cape Girardeau, MO-IL</t>
  </si>
  <si>
    <t>16060</t>
  </si>
  <si>
    <t>Carbondale-Marion, IL</t>
  </si>
  <si>
    <t>16100</t>
  </si>
  <si>
    <t>Carlsbad-Artesia, NM</t>
  </si>
  <si>
    <t>16180</t>
  </si>
  <si>
    <t>Carson City, NV</t>
  </si>
  <si>
    <t>16220</t>
  </si>
  <si>
    <t>Casper, WY</t>
  </si>
  <si>
    <t>16260</t>
  </si>
  <si>
    <t>Cedar City, UT</t>
  </si>
  <si>
    <t>16300</t>
  </si>
  <si>
    <t>Cedar Rapids, IA</t>
  </si>
  <si>
    <t>16340</t>
  </si>
  <si>
    <t>Cedartown, GA</t>
  </si>
  <si>
    <t>16380</t>
  </si>
  <si>
    <t>Celina, OH</t>
  </si>
  <si>
    <t>16460</t>
  </si>
  <si>
    <t>Centralia, IL</t>
  </si>
  <si>
    <t>16500</t>
  </si>
  <si>
    <t>Centralia, WA</t>
  </si>
  <si>
    <t>16540</t>
  </si>
  <si>
    <t>Chambersburg-Waynesboro, PA</t>
  </si>
  <si>
    <t>16580</t>
  </si>
  <si>
    <t>Champaign-Urbana, IL</t>
  </si>
  <si>
    <t>16620</t>
  </si>
  <si>
    <t>Charleston, WV</t>
  </si>
  <si>
    <t>16660</t>
  </si>
  <si>
    <t>Charleston-Mattoon, IL</t>
  </si>
  <si>
    <t>16700</t>
  </si>
  <si>
    <t>Charleston-North Charleston, SC</t>
  </si>
  <si>
    <t>16740</t>
  </si>
  <si>
    <t>Charlotte-Concord-Gastonia, NC-SC</t>
  </si>
  <si>
    <t>16820</t>
  </si>
  <si>
    <t>Charlottesville, VA</t>
  </si>
  <si>
    <t>16860</t>
  </si>
  <si>
    <t>Chattanooga, TN-GA</t>
  </si>
  <si>
    <t>16940</t>
  </si>
  <si>
    <t>Cheyenne, WY</t>
  </si>
  <si>
    <t>16980</t>
  </si>
  <si>
    <t>Chicago-Naperville-Elgin, IL-IN-WI</t>
  </si>
  <si>
    <t>17020</t>
  </si>
  <si>
    <t>Chico, CA</t>
  </si>
  <si>
    <t>17060</t>
  </si>
  <si>
    <t>Chillicothe, OH</t>
  </si>
  <si>
    <t>17140</t>
  </si>
  <si>
    <t>Cincinnati, OH-KY-IN</t>
  </si>
  <si>
    <t>17200</t>
  </si>
  <si>
    <t>Claremont-Lebanon, NH-VT</t>
  </si>
  <si>
    <t>17220</t>
  </si>
  <si>
    <t>Clarksburg, WV</t>
  </si>
  <si>
    <t>17300</t>
  </si>
  <si>
    <t>Clarksville, TN-KY</t>
  </si>
  <si>
    <t>17340</t>
  </si>
  <si>
    <t>Clearlake, CA</t>
  </si>
  <si>
    <t>17380</t>
  </si>
  <si>
    <t>Cleveland, MS</t>
  </si>
  <si>
    <t>17420</t>
  </si>
  <si>
    <t>Cleveland, TN</t>
  </si>
  <si>
    <t>17460</t>
  </si>
  <si>
    <t>Cleveland-Elyria, OH</t>
  </si>
  <si>
    <t>17540</t>
  </si>
  <si>
    <t>Clinton, IA</t>
  </si>
  <si>
    <t>17580</t>
  </si>
  <si>
    <t>Clovis, NM</t>
  </si>
  <si>
    <t>17660</t>
  </si>
  <si>
    <t>Coeur d'Alene, ID</t>
  </si>
  <si>
    <t>17700</t>
  </si>
  <si>
    <t>Coffeyville, KS</t>
  </si>
  <si>
    <t>17740</t>
  </si>
  <si>
    <t>Coldwater, MI</t>
  </si>
  <si>
    <t>17780</t>
  </si>
  <si>
    <t>College Station-Bryan, TX</t>
  </si>
  <si>
    <t>17820</t>
  </si>
  <si>
    <t>Colorado Springs, CO</t>
  </si>
  <si>
    <t>17860</t>
  </si>
  <si>
    <t>Columbia, MO</t>
  </si>
  <si>
    <t>17900</t>
  </si>
  <si>
    <t>Columbia, SC</t>
  </si>
  <si>
    <t>17980</t>
  </si>
  <si>
    <t>Columbus, GA-AL</t>
  </si>
  <si>
    <t>18020</t>
  </si>
  <si>
    <t>Columbus, IN</t>
  </si>
  <si>
    <t>18060</t>
  </si>
  <si>
    <t>Columbus, MS</t>
  </si>
  <si>
    <t>18100</t>
  </si>
  <si>
    <t>Columbus, NE</t>
  </si>
  <si>
    <t>18140</t>
  </si>
  <si>
    <t>Columbus, OH</t>
  </si>
  <si>
    <t>18180</t>
  </si>
  <si>
    <t>Concord, NH</t>
  </si>
  <si>
    <t>18260</t>
  </si>
  <si>
    <t>Cookeville, TN</t>
  </si>
  <si>
    <t>18300</t>
  </si>
  <si>
    <t>Coos Bay, OR</t>
  </si>
  <si>
    <t>18380</t>
  </si>
  <si>
    <t>Cordele, GA</t>
  </si>
  <si>
    <t>18420</t>
  </si>
  <si>
    <t>Corinth, MS</t>
  </si>
  <si>
    <t>18460</t>
  </si>
  <si>
    <t>Cornelia, GA</t>
  </si>
  <si>
    <t>18500</t>
  </si>
  <si>
    <t>Corning, NY</t>
  </si>
  <si>
    <t>18580</t>
  </si>
  <si>
    <t>Corpus Christi, TX</t>
  </si>
  <si>
    <t>18620</t>
  </si>
  <si>
    <t>Corsicana, TX</t>
  </si>
  <si>
    <t>18660</t>
  </si>
  <si>
    <t>Cortland, NY</t>
  </si>
  <si>
    <t>18700</t>
  </si>
  <si>
    <t>Corvallis, OR</t>
  </si>
  <si>
    <t>18740</t>
  </si>
  <si>
    <t>Coshocton, OH</t>
  </si>
  <si>
    <t>18780</t>
  </si>
  <si>
    <t>Craig, CO</t>
  </si>
  <si>
    <t>18820</t>
  </si>
  <si>
    <t>Crawfordsville, IN</t>
  </si>
  <si>
    <t>18860</t>
  </si>
  <si>
    <t>Crescent City, CA</t>
  </si>
  <si>
    <t>18880</t>
  </si>
  <si>
    <t>Crestview-Fort Walton Beach-Destin, FL</t>
  </si>
  <si>
    <t>18900</t>
  </si>
  <si>
    <t>Crossville, TN</t>
  </si>
  <si>
    <t>18980</t>
  </si>
  <si>
    <t>Cullman, AL</t>
  </si>
  <si>
    <t>19000</t>
  </si>
  <si>
    <t>Cullowhee, NC</t>
  </si>
  <si>
    <t>19060</t>
  </si>
  <si>
    <t>Cumberland, MD-WV</t>
  </si>
  <si>
    <t>19100</t>
  </si>
  <si>
    <t>Dallas-Fort Worth-Arlington, TX</t>
  </si>
  <si>
    <t>19140</t>
  </si>
  <si>
    <t>Dalton, GA</t>
  </si>
  <si>
    <t>19180</t>
  </si>
  <si>
    <t>Danville, IL</t>
  </si>
  <si>
    <t>19220</t>
  </si>
  <si>
    <t>Danville, KY</t>
  </si>
  <si>
    <t>19260</t>
  </si>
  <si>
    <t>Danville, VA</t>
  </si>
  <si>
    <t>19300</t>
  </si>
  <si>
    <t>Daphne-Fairhope-Foley, AL</t>
  </si>
  <si>
    <t>19340</t>
  </si>
  <si>
    <t>Davenport-Moline-Rock Island, IA-IL</t>
  </si>
  <si>
    <t>19380</t>
  </si>
  <si>
    <t>Dayton, OH</t>
  </si>
  <si>
    <t>19420</t>
  </si>
  <si>
    <t>Dayton, TN</t>
  </si>
  <si>
    <t>19460</t>
  </si>
  <si>
    <t>Decatur, AL</t>
  </si>
  <si>
    <t>19500</t>
  </si>
  <si>
    <t>Decatur, IL</t>
  </si>
  <si>
    <t>19540</t>
  </si>
  <si>
    <t>Decatur, IN</t>
  </si>
  <si>
    <t>19580</t>
  </si>
  <si>
    <t>Defiance, OH</t>
  </si>
  <si>
    <t>19620</t>
  </si>
  <si>
    <t>Del Rio, TX</t>
  </si>
  <si>
    <t>19660</t>
  </si>
  <si>
    <t>Deltona-Daytona Beach-Ormond Beach, FL</t>
  </si>
  <si>
    <t>19700</t>
  </si>
  <si>
    <t>Deming, NM</t>
  </si>
  <si>
    <t>19740</t>
  </si>
  <si>
    <t>Denver-Aurora-Lakewood, CO</t>
  </si>
  <si>
    <t>19760</t>
  </si>
  <si>
    <t>DeRidder, LA</t>
  </si>
  <si>
    <t>19780</t>
  </si>
  <si>
    <t>Des Moines-West Des Moines, IA</t>
  </si>
  <si>
    <t>19820</t>
  </si>
  <si>
    <t>Detroit-Warren-Dearborn, MI</t>
  </si>
  <si>
    <t>19860</t>
  </si>
  <si>
    <t>Dickinson, ND</t>
  </si>
  <si>
    <t>19940</t>
  </si>
  <si>
    <t>Dixon, IL</t>
  </si>
  <si>
    <t>19980</t>
  </si>
  <si>
    <t>Dodge City, KS</t>
  </si>
  <si>
    <t>20020</t>
  </si>
  <si>
    <t>Dothan, AL</t>
  </si>
  <si>
    <t>20060</t>
  </si>
  <si>
    <t>Douglas, GA</t>
  </si>
  <si>
    <t>20100</t>
  </si>
  <si>
    <t>Dover, DE</t>
  </si>
  <si>
    <t>20140</t>
  </si>
  <si>
    <t>Dublin, GA</t>
  </si>
  <si>
    <t>20180</t>
  </si>
  <si>
    <t>DuBois, PA</t>
  </si>
  <si>
    <t>20220</t>
  </si>
  <si>
    <t>Dubuque, IA</t>
  </si>
  <si>
    <t>20260</t>
  </si>
  <si>
    <t>Duluth, MN-WI</t>
  </si>
  <si>
    <t>20300</t>
  </si>
  <si>
    <t>Dumas, TX</t>
  </si>
  <si>
    <t>20340</t>
  </si>
  <si>
    <t>Duncan, OK</t>
  </si>
  <si>
    <t>20380</t>
  </si>
  <si>
    <t>Dunn, NC</t>
  </si>
  <si>
    <t>20420</t>
  </si>
  <si>
    <t>Durango, CO</t>
  </si>
  <si>
    <t>20460</t>
  </si>
  <si>
    <t>Durant, OK</t>
  </si>
  <si>
    <t>20500</t>
  </si>
  <si>
    <t>Durham-Chapel Hill, NC</t>
  </si>
  <si>
    <t>20540</t>
  </si>
  <si>
    <t>Dyersburg, TN</t>
  </si>
  <si>
    <t>20580</t>
  </si>
  <si>
    <t>Eagle Pass, TX</t>
  </si>
  <si>
    <t>20660</t>
  </si>
  <si>
    <t>Easton, MD</t>
  </si>
  <si>
    <t>20700</t>
  </si>
  <si>
    <t>East Stroudsburg, PA</t>
  </si>
  <si>
    <t>20740</t>
  </si>
  <si>
    <t>Eau Claire, WI</t>
  </si>
  <si>
    <t>20780</t>
  </si>
  <si>
    <t>Edwards, CO</t>
  </si>
  <si>
    <t>20820</t>
  </si>
  <si>
    <t>Effingham, IL</t>
  </si>
  <si>
    <t>20900</t>
  </si>
  <si>
    <t>El Campo, TX</t>
  </si>
  <si>
    <t>20940</t>
  </si>
  <si>
    <t>El Centro, CA</t>
  </si>
  <si>
    <t>20980</t>
  </si>
  <si>
    <t>El Dorado, AR</t>
  </si>
  <si>
    <t>21020</t>
  </si>
  <si>
    <t>Elizabeth City, NC</t>
  </si>
  <si>
    <t>21060</t>
  </si>
  <si>
    <t>Elizabethtown-Fort Knox, KY</t>
  </si>
  <si>
    <t>21120</t>
  </si>
  <si>
    <t>Elk City, OK</t>
  </si>
  <si>
    <t>21140</t>
  </si>
  <si>
    <t>Elkhart-Goshen, IN</t>
  </si>
  <si>
    <t>21180</t>
  </si>
  <si>
    <t>Elkins, WV</t>
  </si>
  <si>
    <t>21220</t>
  </si>
  <si>
    <t>Elko, NV</t>
  </si>
  <si>
    <t>21260</t>
  </si>
  <si>
    <t>Ellensburg, WA</t>
  </si>
  <si>
    <t>21300</t>
  </si>
  <si>
    <t>Elmira, NY</t>
  </si>
  <si>
    <t>21340</t>
  </si>
  <si>
    <t>El Paso, TX</t>
  </si>
  <si>
    <t>21380</t>
  </si>
  <si>
    <t>Emporia, KS</t>
  </si>
  <si>
    <t>21420</t>
  </si>
  <si>
    <t>Enid, OK</t>
  </si>
  <si>
    <t>21460</t>
  </si>
  <si>
    <t>Enterprise, AL</t>
  </si>
  <si>
    <t>21500</t>
  </si>
  <si>
    <t>Erie, PA</t>
  </si>
  <si>
    <t>21540</t>
  </si>
  <si>
    <t>Escanaba, MI</t>
  </si>
  <si>
    <t>21580</t>
  </si>
  <si>
    <t>EspaÃ±ola, NM</t>
  </si>
  <si>
    <t>21660</t>
  </si>
  <si>
    <t>Eugene, OR</t>
  </si>
  <si>
    <t>21700</t>
  </si>
  <si>
    <t>Eureka-Arcata-Fortuna, CA</t>
  </si>
  <si>
    <t>21740</t>
  </si>
  <si>
    <t>Evanston, WY</t>
  </si>
  <si>
    <t>21780</t>
  </si>
  <si>
    <t>Evansville, IN-KY</t>
  </si>
  <si>
    <t>21820</t>
  </si>
  <si>
    <t>Fairbanks, AK</t>
  </si>
  <si>
    <t>21840</t>
  </si>
  <si>
    <t>Fairfield, IA</t>
  </si>
  <si>
    <t>21900</t>
  </si>
  <si>
    <t>Fairmont, WV</t>
  </si>
  <si>
    <t>22020</t>
  </si>
  <si>
    <t>Fargo, ND-MN</t>
  </si>
  <si>
    <t>22060</t>
  </si>
  <si>
    <t>Faribault-Northfield, MN</t>
  </si>
  <si>
    <t>22100</t>
  </si>
  <si>
    <t>Farmington, MO</t>
  </si>
  <si>
    <t>22140</t>
  </si>
  <si>
    <t>Farmington, NM</t>
  </si>
  <si>
    <t>22180</t>
  </si>
  <si>
    <t>Fayetteville, NC</t>
  </si>
  <si>
    <t>22220</t>
  </si>
  <si>
    <t>Fayetteville-Springdale-Rogers, AR-MO</t>
  </si>
  <si>
    <t>22260</t>
  </si>
  <si>
    <t>Fergus Falls, MN</t>
  </si>
  <si>
    <t>22280</t>
  </si>
  <si>
    <t>Fernley, NV</t>
  </si>
  <si>
    <t>22300</t>
  </si>
  <si>
    <t>Findlay, OH</t>
  </si>
  <si>
    <t>22340</t>
  </si>
  <si>
    <t>Fitzgerald, GA</t>
  </si>
  <si>
    <t>22380</t>
  </si>
  <si>
    <t>Flagstaff, AZ</t>
  </si>
  <si>
    <t>22420</t>
  </si>
  <si>
    <t>Flint, MI</t>
  </si>
  <si>
    <t>22500</t>
  </si>
  <si>
    <t>Florence, SC</t>
  </si>
  <si>
    <t>22520</t>
  </si>
  <si>
    <t>Florence-Muscle Shoals, AL</t>
  </si>
  <si>
    <t>22540</t>
  </si>
  <si>
    <t>Fond du Lac, WI</t>
  </si>
  <si>
    <t>22580</t>
  </si>
  <si>
    <t>Forest City, NC</t>
  </si>
  <si>
    <t>22660</t>
  </si>
  <si>
    <t>Fort Collins, CO</t>
  </si>
  <si>
    <t>22700</t>
  </si>
  <si>
    <t>Fort Dodge, IA</t>
  </si>
  <si>
    <t>22780</t>
  </si>
  <si>
    <t>Fort Leonard Wood, MO</t>
  </si>
  <si>
    <t>22800</t>
  </si>
  <si>
    <t>Fort Madison-Keokuk, IA-IL-MO</t>
  </si>
  <si>
    <t>22820</t>
  </si>
  <si>
    <t>Fort Morgan, CO</t>
  </si>
  <si>
    <t>22860</t>
  </si>
  <si>
    <t>Fort Polk South, LA</t>
  </si>
  <si>
    <t>22900</t>
  </si>
  <si>
    <t>Fort Smith, AR-OK</t>
  </si>
  <si>
    <t>23060</t>
  </si>
  <si>
    <t>Fort Wayne, IN</t>
  </si>
  <si>
    <t>23180</t>
  </si>
  <si>
    <t>Frankfort, KY</t>
  </si>
  <si>
    <t>23240</t>
  </si>
  <si>
    <t>Fredericksburg, TX</t>
  </si>
  <si>
    <t>23300</t>
  </si>
  <si>
    <t>Freeport, IL</t>
  </si>
  <si>
    <t>23340</t>
  </si>
  <si>
    <t>Fremont, NE</t>
  </si>
  <si>
    <t>23380</t>
  </si>
  <si>
    <t>Fremont, OH</t>
  </si>
  <si>
    <t>23420</t>
  </si>
  <si>
    <t>Fresno, CA</t>
  </si>
  <si>
    <t>23460</t>
  </si>
  <si>
    <t>Gadsden, AL</t>
  </si>
  <si>
    <t>23500</t>
  </si>
  <si>
    <t>Gaffney, SC</t>
  </si>
  <si>
    <t>23540</t>
  </si>
  <si>
    <t>Gainesville, FL</t>
  </si>
  <si>
    <t>23580</t>
  </si>
  <si>
    <t>Gainesville, GA</t>
  </si>
  <si>
    <t>23620</t>
  </si>
  <si>
    <t>Gainesville, TX</t>
  </si>
  <si>
    <t>23660</t>
  </si>
  <si>
    <t>Galesburg, IL</t>
  </si>
  <si>
    <t>23700</t>
  </si>
  <si>
    <t>Gallup, NM</t>
  </si>
  <si>
    <t>23780</t>
  </si>
  <si>
    <t>Garden City, KS</t>
  </si>
  <si>
    <t>23820</t>
  </si>
  <si>
    <t>Gardnerville Ranchos, NV</t>
  </si>
  <si>
    <t>23860</t>
  </si>
  <si>
    <t>Georgetown, SC</t>
  </si>
  <si>
    <t>23900</t>
  </si>
  <si>
    <t>Gettysburg, PA</t>
  </si>
  <si>
    <t>23940</t>
  </si>
  <si>
    <t>Gillette, WY</t>
  </si>
  <si>
    <t>23980</t>
  </si>
  <si>
    <t>Glasgow, KY</t>
  </si>
  <si>
    <t>24020</t>
  </si>
  <si>
    <t>Glens Falls, NY</t>
  </si>
  <si>
    <t>24060</t>
  </si>
  <si>
    <t>Glenwood Springs, CO</t>
  </si>
  <si>
    <t>24100</t>
  </si>
  <si>
    <t>Gloversville, NY</t>
  </si>
  <si>
    <t>24140</t>
  </si>
  <si>
    <t>Goldsboro, NC</t>
  </si>
  <si>
    <t>24220</t>
  </si>
  <si>
    <t>Grand Forks, ND-MN</t>
  </si>
  <si>
    <t>24260</t>
  </si>
  <si>
    <t>Grand Island, NE</t>
  </si>
  <si>
    <t>24300</t>
  </si>
  <si>
    <t>Grand Junction, CO</t>
  </si>
  <si>
    <t>24340</t>
  </si>
  <si>
    <t>Grand Rapids-Wyoming, MI</t>
  </si>
  <si>
    <t>24420</t>
  </si>
  <si>
    <t>Grants Pass, OR</t>
  </si>
  <si>
    <t>24460</t>
  </si>
  <si>
    <t>Great Bend, KS</t>
  </si>
  <si>
    <t>24500</t>
  </si>
  <si>
    <t>Great Falls, MT</t>
  </si>
  <si>
    <t>24540</t>
  </si>
  <si>
    <t>Greeley, CO</t>
  </si>
  <si>
    <t>24580</t>
  </si>
  <si>
    <t>Green Bay, WI</t>
  </si>
  <si>
    <t>24620</t>
  </si>
  <si>
    <t>Greeneville, TN</t>
  </si>
  <si>
    <t>24640</t>
  </si>
  <si>
    <t>Greenfield Town, MA</t>
  </si>
  <si>
    <t>24660</t>
  </si>
  <si>
    <t>Greensboro-High Point, NC</t>
  </si>
  <si>
    <t>24700</t>
  </si>
  <si>
    <t>Greensburg, IN</t>
  </si>
  <si>
    <t>24740</t>
  </si>
  <si>
    <t>Greenville, MS</t>
  </si>
  <si>
    <t>24780</t>
  </si>
  <si>
    <t>Greenville, NC</t>
  </si>
  <si>
    <t>24820</t>
  </si>
  <si>
    <t>Greenville, OH</t>
  </si>
  <si>
    <t>24860</t>
  </si>
  <si>
    <t>Greenville-Anderson-Mauldin, SC</t>
  </si>
  <si>
    <t>24900</t>
  </si>
  <si>
    <t>Greenwood, MS</t>
  </si>
  <si>
    <t>24940</t>
  </si>
  <si>
    <t>Greenwood, SC</t>
  </si>
  <si>
    <t>24980</t>
  </si>
  <si>
    <t>Grenada, MS</t>
  </si>
  <si>
    <t>25060</t>
  </si>
  <si>
    <t>Gulfport-Biloxi-Pascagoula, MS</t>
  </si>
  <si>
    <t>25100</t>
  </si>
  <si>
    <t>Guymon, OK</t>
  </si>
  <si>
    <t>25180</t>
  </si>
  <si>
    <t>Hagerstown-Martinsburg, MD-WV</t>
  </si>
  <si>
    <t>25200</t>
  </si>
  <si>
    <t>Hailey, ID</t>
  </si>
  <si>
    <t>25220</t>
  </si>
  <si>
    <t>Hammond, LA</t>
  </si>
  <si>
    <t>25260</t>
  </si>
  <si>
    <t>Hanford-Corcoran, CA</t>
  </si>
  <si>
    <t>25300</t>
  </si>
  <si>
    <t>Hannibal, MO</t>
  </si>
  <si>
    <t>25420</t>
  </si>
  <si>
    <t>Harrisburg-Carlisle, PA</t>
  </si>
  <si>
    <t>25460</t>
  </si>
  <si>
    <t>Harrison, AR</t>
  </si>
  <si>
    <t>25500</t>
  </si>
  <si>
    <t>Harrisonburg, VA</t>
  </si>
  <si>
    <t>25540</t>
  </si>
  <si>
    <t>Hartford-West Hartford-East Hartford, CT</t>
  </si>
  <si>
    <t>25580</t>
  </si>
  <si>
    <t>Hastings, NE</t>
  </si>
  <si>
    <t>25620</t>
  </si>
  <si>
    <t>Hattiesburg, MS</t>
  </si>
  <si>
    <t>25700</t>
  </si>
  <si>
    <t>Hays, KS</t>
  </si>
  <si>
    <t>25720</t>
  </si>
  <si>
    <t>Heber, UT</t>
  </si>
  <si>
    <t>25740</t>
  </si>
  <si>
    <t>Helena, MT</t>
  </si>
  <si>
    <t>25760</t>
  </si>
  <si>
    <t>Helena-West Helena, AR</t>
  </si>
  <si>
    <t>25780</t>
  </si>
  <si>
    <t>Henderson, NC</t>
  </si>
  <si>
    <t>25820</t>
  </si>
  <si>
    <t>Hereford, TX</t>
  </si>
  <si>
    <t>25840</t>
  </si>
  <si>
    <t>Hermiston-Pendleton, OR</t>
  </si>
  <si>
    <t>25860</t>
  </si>
  <si>
    <t>Hickory-Lenoir-Morganton, NC</t>
  </si>
  <si>
    <t>25880</t>
  </si>
  <si>
    <t>Hillsdale, MI</t>
  </si>
  <si>
    <t>25900</t>
  </si>
  <si>
    <t>Hilo, HI</t>
  </si>
  <si>
    <t>25940</t>
  </si>
  <si>
    <t>Hilton Head Island-Bluffton-Beaufort, SC</t>
  </si>
  <si>
    <t>25980</t>
  </si>
  <si>
    <t>Hinesville, GA</t>
  </si>
  <si>
    <t>26020</t>
  </si>
  <si>
    <t>Hobbs, NM</t>
  </si>
  <si>
    <t>26090</t>
  </si>
  <si>
    <t>Holland, MI</t>
  </si>
  <si>
    <t>26140</t>
  </si>
  <si>
    <t>Homosassa Springs, FL</t>
  </si>
  <si>
    <t>26300</t>
  </si>
  <si>
    <t>Hot Springs, AR</t>
  </si>
  <si>
    <t>26340</t>
  </si>
  <si>
    <t>Houghton, MI</t>
  </si>
  <si>
    <t>26380</t>
  </si>
  <si>
    <t>Houma-Thibodaux, LA</t>
  </si>
  <si>
    <t>26420</t>
  </si>
  <si>
    <t>Houston-The Woodlands-Sugar Land, TX</t>
  </si>
  <si>
    <t>26460</t>
  </si>
  <si>
    <t>Hudson, NY</t>
  </si>
  <si>
    <t>26500</t>
  </si>
  <si>
    <t>Huntingdon, PA</t>
  </si>
  <si>
    <t>26540</t>
  </si>
  <si>
    <t>Huntington, IN</t>
  </si>
  <si>
    <t>26580</t>
  </si>
  <si>
    <t>Huntington-Ashland, WV-KY-OH</t>
  </si>
  <si>
    <t>26620</t>
  </si>
  <si>
    <t>Huntsville, AL</t>
  </si>
  <si>
    <t>26660</t>
  </si>
  <si>
    <t>Huntsville, TX</t>
  </si>
  <si>
    <t>26700</t>
  </si>
  <si>
    <t>Huron, SD</t>
  </si>
  <si>
    <t>26740</t>
  </si>
  <si>
    <t>Hutchinson, KS</t>
  </si>
  <si>
    <t>26780</t>
  </si>
  <si>
    <t>Hutchinson, MN</t>
  </si>
  <si>
    <t>26820</t>
  </si>
  <si>
    <t>Idaho Falls, ID</t>
  </si>
  <si>
    <t>26860</t>
  </si>
  <si>
    <t>Indiana, PA</t>
  </si>
  <si>
    <t>26900</t>
  </si>
  <si>
    <t>Indianapolis-Carmel-Anderson, IN</t>
  </si>
  <si>
    <t>26940</t>
  </si>
  <si>
    <t>Indianola, MS</t>
  </si>
  <si>
    <t>26960</t>
  </si>
  <si>
    <t>Ionia, MI</t>
  </si>
  <si>
    <t>26980</t>
  </si>
  <si>
    <t>Iowa City, IA</t>
  </si>
  <si>
    <t>27020</t>
  </si>
  <si>
    <t>Iron Mountain, MI-WI</t>
  </si>
  <si>
    <t>27060</t>
  </si>
  <si>
    <t>Ithaca, NY</t>
  </si>
  <si>
    <t>27100</t>
  </si>
  <si>
    <t>Jackson, MI</t>
  </si>
  <si>
    <t>27140</t>
  </si>
  <si>
    <t>Jackson, MS</t>
  </si>
  <si>
    <t>27160</t>
  </si>
  <si>
    <t>Jackson, OH</t>
  </si>
  <si>
    <t>27180</t>
  </si>
  <si>
    <t>Jackson, TN</t>
  </si>
  <si>
    <t>27220</t>
  </si>
  <si>
    <t>Jackson, WY-ID</t>
  </si>
  <si>
    <t>27260</t>
  </si>
  <si>
    <t>Jacksonville, FL</t>
  </si>
  <si>
    <t>27300</t>
  </si>
  <si>
    <t>Jacksonville, IL</t>
  </si>
  <si>
    <t>27340</t>
  </si>
  <si>
    <t>Jacksonville, NC</t>
  </si>
  <si>
    <t>27380</t>
  </si>
  <si>
    <t>Jacksonville, TX</t>
  </si>
  <si>
    <t>27420</t>
  </si>
  <si>
    <t>Jamestown, ND</t>
  </si>
  <si>
    <t>27460</t>
  </si>
  <si>
    <t>Jamestown-Dunkirk-Fredonia, NY</t>
  </si>
  <si>
    <t>27500</t>
  </si>
  <si>
    <t>Janesville-Beloit, WI</t>
  </si>
  <si>
    <t>27540</t>
  </si>
  <si>
    <t>Jasper, IN</t>
  </si>
  <si>
    <t>27600</t>
  </si>
  <si>
    <t>Jefferson, GA</t>
  </si>
  <si>
    <t>27620</t>
  </si>
  <si>
    <t>Jefferson City, MO</t>
  </si>
  <si>
    <t>27700</t>
  </si>
  <si>
    <t>Jesup, GA</t>
  </si>
  <si>
    <t>27740</t>
  </si>
  <si>
    <t>Johnson City, TN</t>
  </si>
  <si>
    <t>27780</t>
  </si>
  <si>
    <t>Johnstown, PA</t>
  </si>
  <si>
    <t>27860</t>
  </si>
  <si>
    <t>Jonesboro, AR</t>
  </si>
  <si>
    <t>27900</t>
  </si>
  <si>
    <t>Joplin, MO</t>
  </si>
  <si>
    <t>27920</t>
  </si>
  <si>
    <t>Junction City, KS</t>
  </si>
  <si>
    <t>27940</t>
  </si>
  <si>
    <t>Juneau, AK</t>
  </si>
  <si>
    <t>27980</t>
  </si>
  <si>
    <t>Kahului-Wailuku-Lahaina, HI</t>
  </si>
  <si>
    <t>28020</t>
  </si>
  <si>
    <t>Kalamazoo-Portage, MI</t>
  </si>
  <si>
    <t>28060</t>
  </si>
  <si>
    <t>Kalispell, MT</t>
  </si>
  <si>
    <t>28100</t>
  </si>
  <si>
    <t>Kankakee, IL</t>
  </si>
  <si>
    <t>28140</t>
  </si>
  <si>
    <t>Kansas City, MO-KS</t>
  </si>
  <si>
    <t>28180</t>
  </si>
  <si>
    <t>Kapaa, HI</t>
  </si>
  <si>
    <t>28260</t>
  </si>
  <si>
    <t>Kearney, NE</t>
  </si>
  <si>
    <t>28300</t>
  </si>
  <si>
    <t>Keene, NH</t>
  </si>
  <si>
    <t>28340</t>
  </si>
  <si>
    <t>Kendallville, IN</t>
  </si>
  <si>
    <t>28380</t>
  </si>
  <si>
    <t>Kennett, MO</t>
  </si>
  <si>
    <t>28420</t>
  </si>
  <si>
    <t>Kennewick-Richland, WA</t>
  </si>
  <si>
    <t>28500</t>
  </si>
  <si>
    <t>Kerrville, TX</t>
  </si>
  <si>
    <t>28540</t>
  </si>
  <si>
    <t>Ketchikan, AK</t>
  </si>
  <si>
    <t>28580</t>
  </si>
  <si>
    <t>Key West, FL</t>
  </si>
  <si>
    <t>28620</t>
  </si>
  <si>
    <t>Kill Devil Hills, NC</t>
  </si>
  <si>
    <t>28660</t>
  </si>
  <si>
    <t>Killeen-Temple, TX</t>
  </si>
  <si>
    <t>28700</t>
  </si>
  <si>
    <t>Kingsport-Bristol-Bristol, TN-VA</t>
  </si>
  <si>
    <t>28740</t>
  </si>
  <si>
    <t>Kingston, NY</t>
  </si>
  <si>
    <t>28780</t>
  </si>
  <si>
    <t>Kingsville, TX</t>
  </si>
  <si>
    <t>28820</t>
  </si>
  <si>
    <t>Kinston, NC</t>
  </si>
  <si>
    <t>28860</t>
  </si>
  <si>
    <t>Kirksville, MO</t>
  </si>
  <si>
    <t>28900</t>
  </si>
  <si>
    <t>Klamath Falls, OR</t>
  </si>
  <si>
    <t>28940</t>
  </si>
  <si>
    <t>Knoxville, TN</t>
  </si>
  <si>
    <t>29020</t>
  </si>
  <si>
    <t>Kokomo, IN</t>
  </si>
  <si>
    <t>29060</t>
  </si>
  <si>
    <t>Laconia, NH</t>
  </si>
  <si>
    <t>29100</t>
  </si>
  <si>
    <t>La Crosse-Onalaska, WI-MN</t>
  </si>
  <si>
    <t>29180</t>
  </si>
  <si>
    <t>Lafayette, LA</t>
  </si>
  <si>
    <t>29200</t>
  </si>
  <si>
    <t>Lafayette-West Lafayette, IN</t>
  </si>
  <si>
    <t>29260</t>
  </si>
  <si>
    <t>La Grande, OR</t>
  </si>
  <si>
    <t>29300</t>
  </si>
  <si>
    <t>LaGrange, GA</t>
  </si>
  <si>
    <t>29340</t>
  </si>
  <si>
    <t>Lake Charles, LA</t>
  </si>
  <si>
    <t>29380</t>
  </si>
  <si>
    <t>Lake City, FL</t>
  </si>
  <si>
    <t>29420</t>
  </si>
  <si>
    <t>Lake Havasu City-Kingman, AZ</t>
  </si>
  <si>
    <t>29460</t>
  </si>
  <si>
    <t>Lakeland-Winter Haven, FL</t>
  </si>
  <si>
    <t>29500</t>
  </si>
  <si>
    <t>Lamesa, TX</t>
  </si>
  <si>
    <t>29540</t>
  </si>
  <si>
    <t>Lancaster, PA</t>
  </si>
  <si>
    <t>29620</t>
  </si>
  <si>
    <t>Lansing-East Lansing, MI</t>
  </si>
  <si>
    <t>29660</t>
  </si>
  <si>
    <t>Laramie, WY</t>
  </si>
  <si>
    <t>29700</t>
  </si>
  <si>
    <t>Laredo, TX</t>
  </si>
  <si>
    <t>29740</t>
  </si>
  <si>
    <t>Las Cruces, NM</t>
  </si>
  <si>
    <t>29820</t>
  </si>
  <si>
    <t>Las Vegas-Henderson-Paradise, NV</t>
  </si>
  <si>
    <t>29860</t>
  </si>
  <si>
    <t>Laurel, MS</t>
  </si>
  <si>
    <t>29900</t>
  </si>
  <si>
    <t>Laurinburg, NC</t>
  </si>
  <si>
    <t>29940</t>
  </si>
  <si>
    <t>Lawrence, KS</t>
  </si>
  <si>
    <t>30020</t>
  </si>
  <si>
    <t>Lawton, OK</t>
  </si>
  <si>
    <t>30060</t>
  </si>
  <si>
    <t>Lebanon, MO</t>
  </si>
  <si>
    <t>30140</t>
  </si>
  <si>
    <t>Lebanon, PA</t>
  </si>
  <si>
    <t>30220</t>
  </si>
  <si>
    <t>Levelland, TX</t>
  </si>
  <si>
    <t>30260</t>
  </si>
  <si>
    <t>Lewisburg, PA</t>
  </si>
  <si>
    <t>30280</t>
  </si>
  <si>
    <t>Lewisburg, TN</t>
  </si>
  <si>
    <t>30300</t>
  </si>
  <si>
    <t>Lewiston, ID-WA</t>
  </si>
  <si>
    <t>30340</t>
  </si>
  <si>
    <t>Lewiston-Auburn, ME</t>
  </si>
  <si>
    <t>30380</t>
  </si>
  <si>
    <t>Lewistown, PA</t>
  </si>
  <si>
    <t>30420</t>
  </si>
  <si>
    <t>Lexington, NE</t>
  </si>
  <si>
    <t>30460</t>
  </si>
  <si>
    <t>Lexington-Fayette, KY</t>
  </si>
  <si>
    <t>30620</t>
  </si>
  <si>
    <t>Lima, OH</t>
  </si>
  <si>
    <t>30660</t>
  </si>
  <si>
    <t>Lincoln, IL</t>
  </si>
  <si>
    <t>30700</t>
  </si>
  <si>
    <t>Lincoln, NE</t>
  </si>
  <si>
    <t>30780</t>
  </si>
  <si>
    <t>Little Rock-North Little Rock-Conway, AR</t>
  </si>
  <si>
    <t>30820</t>
  </si>
  <si>
    <t>Lock Haven, PA</t>
  </si>
  <si>
    <t>30860</t>
  </si>
  <si>
    <t>Logan, UT-ID</t>
  </si>
  <si>
    <t>30880</t>
  </si>
  <si>
    <t>Logan, WV</t>
  </si>
  <si>
    <t>30940</t>
  </si>
  <si>
    <t>London, KY</t>
  </si>
  <si>
    <t>30980</t>
  </si>
  <si>
    <t>Longview, TX</t>
  </si>
  <si>
    <t>31020</t>
  </si>
  <si>
    <t>Longview, WA</t>
  </si>
  <si>
    <t>31060</t>
  </si>
  <si>
    <t>Los Alamos, NM</t>
  </si>
  <si>
    <t>31080</t>
  </si>
  <si>
    <t>Los Angeles-Long Beach-Anaheim, CA</t>
  </si>
  <si>
    <t>31140</t>
  </si>
  <si>
    <t>Louisville/Jefferson County, KY-IN</t>
  </si>
  <si>
    <t>31180</t>
  </si>
  <si>
    <t>Lubbock, TX</t>
  </si>
  <si>
    <t>31220</t>
  </si>
  <si>
    <t>Ludington, MI</t>
  </si>
  <si>
    <t>31260</t>
  </si>
  <si>
    <t>Lufkin, TX</t>
  </si>
  <si>
    <t>31300</t>
  </si>
  <si>
    <t>Lumberton, NC</t>
  </si>
  <si>
    <t>31340</t>
  </si>
  <si>
    <t>Lynchburg, VA</t>
  </si>
  <si>
    <t>31380</t>
  </si>
  <si>
    <t>Macomb, IL</t>
  </si>
  <si>
    <t>31420</t>
  </si>
  <si>
    <t>Macon, GA</t>
  </si>
  <si>
    <t>31460</t>
  </si>
  <si>
    <t>Madera, CA</t>
  </si>
  <si>
    <t>31500</t>
  </si>
  <si>
    <t>Madison, IN</t>
  </si>
  <si>
    <t>31540</t>
  </si>
  <si>
    <t>Madison, WI</t>
  </si>
  <si>
    <t>31580</t>
  </si>
  <si>
    <t>Madisonville, KY</t>
  </si>
  <si>
    <t>31660</t>
  </si>
  <si>
    <t>Malone, NY</t>
  </si>
  <si>
    <t>31680</t>
  </si>
  <si>
    <t>Malvern, AR</t>
  </si>
  <si>
    <t>31700</t>
  </si>
  <si>
    <t>Manchester-Nashua, NH</t>
  </si>
  <si>
    <t>31740</t>
  </si>
  <si>
    <t>Manhattan, KS</t>
  </si>
  <si>
    <t>31820</t>
  </si>
  <si>
    <t>Manitowoc, WI</t>
  </si>
  <si>
    <t>31860</t>
  </si>
  <si>
    <t>Mankato-North Mankato, MN</t>
  </si>
  <si>
    <t>31900</t>
  </si>
  <si>
    <t>Mansfield, OH</t>
  </si>
  <si>
    <t>31930</t>
  </si>
  <si>
    <t>Marietta, OH</t>
  </si>
  <si>
    <t>31940</t>
  </si>
  <si>
    <t>Marinette, WI-MI</t>
  </si>
  <si>
    <t>31980</t>
  </si>
  <si>
    <t>Marion, IN</t>
  </si>
  <si>
    <t>32000</t>
  </si>
  <si>
    <t>Marion, NC</t>
  </si>
  <si>
    <t>32020</t>
  </si>
  <si>
    <t>Marion, OH</t>
  </si>
  <si>
    <t>32100</t>
  </si>
  <si>
    <t>Marquette, MI</t>
  </si>
  <si>
    <t>32140</t>
  </si>
  <si>
    <t>Marshall, MN</t>
  </si>
  <si>
    <t>32180</t>
  </si>
  <si>
    <t>Marshall, MO</t>
  </si>
  <si>
    <t>32220</t>
  </si>
  <si>
    <t>Marshall, TX</t>
  </si>
  <si>
    <t>32260</t>
  </si>
  <si>
    <t>Marshalltown, IA</t>
  </si>
  <si>
    <t>32280</t>
  </si>
  <si>
    <t>Martin, TN</t>
  </si>
  <si>
    <t>32300</t>
  </si>
  <si>
    <t>Martinsville, VA</t>
  </si>
  <si>
    <t>32340</t>
  </si>
  <si>
    <t>Maryville, MO</t>
  </si>
  <si>
    <t>32380</t>
  </si>
  <si>
    <t>Mason City, IA</t>
  </si>
  <si>
    <t>32460</t>
  </si>
  <si>
    <t>Mayfield, KY</t>
  </si>
  <si>
    <t>32500</t>
  </si>
  <si>
    <t>Maysville, KY</t>
  </si>
  <si>
    <t>32540</t>
  </si>
  <si>
    <t>McAlester, OK</t>
  </si>
  <si>
    <t>32580</t>
  </si>
  <si>
    <t>McAllen-Edinburg-Mission, TX</t>
  </si>
  <si>
    <t>32620</t>
  </si>
  <si>
    <t>McComb, MS</t>
  </si>
  <si>
    <t>32660</t>
  </si>
  <si>
    <t>McMinnville, TN</t>
  </si>
  <si>
    <t>32700</t>
  </si>
  <si>
    <t>McPherson, KS</t>
  </si>
  <si>
    <t>32740</t>
  </si>
  <si>
    <t>Meadville, PA</t>
  </si>
  <si>
    <t>32780</t>
  </si>
  <si>
    <t>Medford, OR</t>
  </si>
  <si>
    <t>32820</t>
  </si>
  <si>
    <t>Memphis, TN-MS-AR</t>
  </si>
  <si>
    <t>32860</t>
  </si>
  <si>
    <t>Menomonie, WI</t>
  </si>
  <si>
    <t>32900</t>
  </si>
  <si>
    <t>Merced, CA</t>
  </si>
  <si>
    <t>32940</t>
  </si>
  <si>
    <t>Meridian, MS</t>
  </si>
  <si>
    <t>32980</t>
  </si>
  <si>
    <t>Merrill, WI</t>
  </si>
  <si>
    <t>33020</t>
  </si>
  <si>
    <t>Mexico, MO</t>
  </si>
  <si>
    <t>33060</t>
  </si>
  <si>
    <t>Miami, OK</t>
  </si>
  <si>
    <t>33100</t>
  </si>
  <si>
    <t>Miami-Fort Lauderdale-West Palm Beach, FL</t>
  </si>
  <si>
    <t>33140</t>
  </si>
  <si>
    <t>Michigan City-La Porte, IN</t>
  </si>
  <si>
    <t>33180</t>
  </si>
  <si>
    <t>Middlesborough, KY</t>
  </si>
  <si>
    <t>33220</t>
  </si>
  <si>
    <t>Midland, MI</t>
  </si>
  <si>
    <t>33260</t>
  </si>
  <si>
    <t>Midland, TX</t>
  </si>
  <si>
    <t>33300</t>
  </si>
  <si>
    <t>Milledgeville, GA</t>
  </si>
  <si>
    <t>33340</t>
  </si>
  <si>
    <t>Milwaukee-Waukesha-West Allis, WI</t>
  </si>
  <si>
    <t>33420</t>
  </si>
  <si>
    <t>Mineral Wells, TX</t>
  </si>
  <si>
    <t>33460</t>
  </si>
  <si>
    <t>Minneapolis-St. Paul-Bloomington, MN-WI</t>
  </si>
  <si>
    <t>33500</t>
  </si>
  <si>
    <t>Minot, ND</t>
  </si>
  <si>
    <t>33540</t>
  </si>
  <si>
    <t>Missoula, MT</t>
  </si>
  <si>
    <t>33580</t>
  </si>
  <si>
    <t>Mitchell, SD</t>
  </si>
  <si>
    <t>33620</t>
  </si>
  <si>
    <t>Moberly, MO</t>
  </si>
  <si>
    <t>33660</t>
  </si>
  <si>
    <t>Mobile, AL</t>
  </si>
  <si>
    <t>33700</t>
  </si>
  <si>
    <t>Modesto, CA</t>
  </si>
  <si>
    <t>33740</t>
  </si>
  <si>
    <t>Monroe, LA</t>
  </si>
  <si>
    <t>33780</t>
  </si>
  <si>
    <t>Monroe, MI</t>
  </si>
  <si>
    <t>33860</t>
  </si>
  <si>
    <t>Montgomery, AL</t>
  </si>
  <si>
    <t>33940</t>
  </si>
  <si>
    <t>Montrose, CO</t>
  </si>
  <si>
    <t>33980</t>
  </si>
  <si>
    <t>Morehead City, NC</t>
  </si>
  <si>
    <t>34020</t>
  </si>
  <si>
    <t>Morgan City, LA</t>
  </si>
  <si>
    <t>34060</t>
  </si>
  <si>
    <t>Morgantown, WV</t>
  </si>
  <si>
    <t>34100</t>
  </si>
  <si>
    <t>Morristown, TN</t>
  </si>
  <si>
    <t>34140</t>
  </si>
  <si>
    <t>Moscow, ID</t>
  </si>
  <si>
    <t>34180</t>
  </si>
  <si>
    <t>Moses Lake, WA</t>
  </si>
  <si>
    <t>34220</t>
  </si>
  <si>
    <t>Moultrie, GA</t>
  </si>
  <si>
    <t>34260</t>
  </si>
  <si>
    <t>Mountain Home, AR</t>
  </si>
  <si>
    <t>34300</t>
  </si>
  <si>
    <t>Mountain Home, ID</t>
  </si>
  <si>
    <t>34340</t>
  </si>
  <si>
    <t>Mount Airy, NC</t>
  </si>
  <si>
    <t>34380</t>
  </si>
  <si>
    <t>Mount Pleasant, MI</t>
  </si>
  <si>
    <t>34420</t>
  </si>
  <si>
    <t>Mount Pleasant, TX</t>
  </si>
  <si>
    <t>34460</t>
  </si>
  <si>
    <t>Mount Sterling, KY</t>
  </si>
  <si>
    <t>34540</t>
  </si>
  <si>
    <t>Mount Vernon, OH</t>
  </si>
  <si>
    <t>34580</t>
  </si>
  <si>
    <t>Mount Vernon-Anacortes, WA</t>
  </si>
  <si>
    <t>34620</t>
  </si>
  <si>
    <t>Muncie, IN</t>
  </si>
  <si>
    <t>34660</t>
  </si>
  <si>
    <t>Murray, KY</t>
  </si>
  <si>
    <t>34700</t>
  </si>
  <si>
    <t>Muscatine, IA</t>
  </si>
  <si>
    <t>34740</t>
  </si>
  <si>
    <t>Muskegon, MI</t>
  </si>
  <si>
    <t>34780</t>
  </si>
  <si>
    <t>Muskogee, OK</t>
  </si>
  <si>
    <t>34820</t>
  </si>
  <si>
    <t>Myrtle Beach-Conway-North Myrtle Beach, SC-NC</t>
  </si>
  <si>
    <t>34860</t>
  </si>
  <si>
    <t>Nacogdoches, TX</t>
  </si>
  <si>
    <t>34900</t>
  </si>
  <si>
    <t>Napa, CA</t>
  </si>
  <si>
    <t>34940</t>
  </si>
  <si>
    <t>Naples-Immokalee-Marco Island, FL</t>
  </si>
  <si>
    <t>34980</t>
  </si>
  <si>
    <t>Nashville-Davidson--Murfreesboro--Franklin, TN</t>
  </si>
  <si>
    <t>35020</t>
  </si>
  <si>
    <t>Natchez, MS-LA</t>
  </si>
  <si>
    <t>35060</t>
  </si>
  <si>
    <t>Natchitoches, LA</t>
  </si>
  <si>
    <t>35100</t>
  </si>
  <si>
    <t>New Bern, NC</t>
  </si>
  <si>
    <t>35140</t>
  </si>
  <si>
    <t>Newberry, SC</t>
  </si>
  <si>
    <t>35220</t>
  </si>
  <si>
    <t>New Castle, IN</t>
  </si>
  <si>
    <t>35260</t>
  </si>
  <si>
    <t>New Castle, PA</t>
  </si>
  <si>
    <t>35300</t>
  </si>
  <si>
    <t>New Haven-Milford, CT</t>
  </si>
  <si>
    <t>35380</t>
  </si>
  <si>
    <t>New Orleans-Metairie, LA</t>
  </si>
  <si>
    <t>35420</t>
  </si>
  <si>
    <t>New Philadelphia-Dover, OH</t>
  </si>
  <si>
    <t>35440</t>
  </si>
  <si>
    <t>Newport, OR</t>
  </si>
  <si>
    <t>35500</t>
  </si>
  <si>
    <t>Newton, IA</t>
  </si>
  <si>
    <t>35580</t>
  </si>
  <si>
    <t>New Ulm, MN</t>
  </si>
  <si>
    <t>35620</t>
  </si>
  <si>
    <t>New York-Newark-Jersey City, NY-NJ-PA</t>
  </si>
  <si>
    <t>35660</t>
  </si>
  <si>
    <t>Niles-Benton Harbor, MI</t>
  </si>
  <si>
    <t>35700</t>
  </si>
  <si>
    <t>Nogales, AZ</t>
  </si>
  <si>
    <t>35740</t>
  </si>
  <si>
    <t>Norfolk, NE</t>
  </si>
  <si>
    <t>35840</t>
  </si>
  <si>
    <t>North Port-Sarasota-Bradenton, FL</t>
  </si>
  <si>
    <t>35860</t>
  </si>
  <si>
    <t>North Vernon, IN</t>
  </si>
  <si>
    <t>35900</t>
  </si>
  <si>
    <t>North Wilkesboro, NC</t>
  </si>
  <si>
    <t>35940</t>
  </si>
  <si>
    <t>Norwalk, OH</t>
  </si>
  <si>
    <t>35980</t>
  </si>
  <si>
    <t>Norwich-New London, CT</t>
  </si>
  <si>
    <t>36020</t>
  </si>
  <si>
    <t>Oak Harbor, WA</t>
  </si>
  <si>
    <t>36100</t>
  </si>
  <si>
    <t>Ocala, FL</t>
  </si>
  <si>
    <t>36140</t>
  </si>
  <si>
    <t>Ocean City, NJ</t>
  </si>
  <si>
    <t>36220</t>
  </si>
  <si>
    <t>Odessa, TX</t>
  </si>
  <si>
    <t>36260</t>
  </si>
  <si>
    <t>Ogden-Clearfield, UT</t>
  </si>
  <si>
    <t>36300</t>
  </si>
  <si>
    <t>Ogdensburg-Massena, NY</t>
  </si>
  <si>
    <t>36340</t>
  </si>
  <si>
    <t>Oil City, PA</t>
  </si>
  <si>
    <t>36380</t>
  </si>
  <si>
    <t>Okeechobee, FL</t>
  </si>
  <si>
    <t>36420</t>
  </si>
  <si>
    <t>Oklahoma City, OK</t>
  </si>
  <si>
    <t>36460</t>
  </si>
  <si>
    <t>Olean, NY</t>
  </si>
  <si>
    <t>36500</t>
  </si>
  <si>
    <t>Olympia-Tumwater, WA</t>
  </si>
  <si>
    <t>36540</t>
  </si>
  <si>
    <t>Omaha-Council Bluffs, NE-IA</t>
  </si>
  <si>
    <t>36580</t>
  </si>
  <si>
    <t>Oneonta, NY</t>
  </si>
  <si>
    <t>36620</t>
  </si>
  <si>
    <t>Ontario, OR-ID</t>
  </si>
  <si>
    <t>36660</t>
  </si>
  <si>
    <t>Opelousas, LA</t>
  </si>
  <si>
    <t>36700</t>
  </si>
  <si>
    <t>Orangeburg, SC</t>
  </si>
  <si>
    <t>36740</t>
  </si>
  <si>
    <t>Orlando-Kissimmee-Sanford, FL</t>
  </si>
  <si>
    <t>36780</t>
  </si>
  <si>
    <t>Oshkosh-Neenah, WI</t>
  </si>
  <si>
    <t>36830</t>
  </si>
  <si>
    <t>Othello, WA</t>
  </si>
  <si>
    <t>36840</t>
  </si>
  <si>
    <t>Ottawa, KS</t>
  </si>
  <si>
    <t>36860</t>
  </si>
  <si>
    <t>Ottawa-Peru, IL</t>
  </si>
  <si>
    <t>36900</t>
  </si>
  <si>
    <t>Ottumwa, IA</t>
  </si>
  <si>
    <t>36940</t>
  </si>
  <si>
    <t>Owatonna, MN</t>
  </si>
  <si>
    <t>36980</t>
  </si>
  <si>
    <t>Owensboro, KY</t>
  </si>
  <si>
    <t>37020</t>
  </si>
  <si>
    <t>Owosso, MI</t>
  </si>
  <si>
    <t>37060</t>
  </si>
  <si>
    <t>Oxford, MS</t>
  </si>
  <si>
    <t>37080</t>
  </si>
  <si>
    <t>Oxford, NC</t>
  </si>
  <si>
    <t>37100</t>
  </si>
  <si>
    <t>Oxnard-Thousand Oaks-Ventura, CA</t>
  </si>
  <si>
    <t>37120</t>
  </si>
  <si>
    <t>Ozark, AL</t>
  </si>
  <si>
    <t>37140</t>
  </si>
  <si>
    <t>Paducah, KY-IL</t>
  </si>
  <si>
    <t>37220</t>
  </si>
  <si>
    <t>Pahrump, NV</t>
  </si>
  <si>
    <t>37260</t>
  </si>
  <si>
    <t>Palatka, FL</t>
  </si>
  <si>
    <t>37300</t>
  </si>
  <si>
    <t>Palestine, TX</t>
  </si>
  <si>
    <t>37340</t>
  </si>
  <si>
    <t>Palm Bay-Melbourne-Titusville, FL</t>
  </si>
  <si>
    <t>37420</t>
  </si>
  <si>
    <t>Pampa, TX</t>
  </si>
  <si>
    <t>37460</t>
  </si>
  <si>
    <t>Panama City, FL</t>
  </si>
  <si>
    <t>37500</t>
  </si>
  <si>
    <t>Paragould, AR</t>
  </si>
  <si>
    <t>37540</t>
  </si>
  <si>
    <t>Paris, TN</t>
  </si>
  <si>
    <t>37580</t>
  </si>
  <si>
    <t>Paris, TX</t>
  </si>
  <si>
    <t>37620</t>
  </si>
  <si>
    <t>Parkersburg-Vienna, WV</t>
  </si>
  <si>
    <t>37660</t>
  </si>
  <si>
    <t>Parsons, KS</t>
  </si>
  <si>
    <t>37740</t>
  </si>
  <si>
    <t>Payson, AZ</t>
  </si>
  <si>
    <t>37780</t>
  </si>
  <si>
    <t>Pecos, TX</t>
  </si>
  <si>
    <t>37860</t>
  </si>
  <si>
    <t>Pensacola-Ferry Pass-Brent, FL</t>
  </si>
  <si>
    <t>37900</t>
  </si>
  <si>
    <t>Peoria, IL</t>
  </si>
  <si>
    <t>37940</t>
  </si>
  <si>
    <t>Peru, IN</t>
  </si>
  <si>
    <t>37980</t>
  </si>
  <si>
    <t>Philadelphia-Camden-Wilmington, PA-NJ-DE-MD</t>
  </si>
  <si>
    <t>38060</t>
  </si>
  <si>
    <t>Phoenix-Mesa-Scottsdale, AZ</t>
  </si>
  <si>
    <t>38100</t>
  </si>
  <si>
    <t>Picayune, MS</t>
  </si>
  <si>
    <t>38180</t>
  </si>
  <si>
    <t>Pierre, SD</t>
  </si>
  <si>
    <t>38220</t>
  </si>
  <si>
    <t>Pine Bluff, AR</t>
  </si>
  <si>
    <t>38240</t>
  </si>
  <si>
    <t>Pinehurst-Southern Pines, NC</t>
  </si>
  <si>
    <t>38260</t>
  </si>
  <si>
    <t>Pittsburg, KS</t>
  </si>
  <si>
    <t>38300</t>
  </si>
  <si>
    <t>Pittsburgh, PA</t>
  </si>
  <si>
    <t>38340</t>
  </si>
  <si>
    <t>Pittsfield, MA</t>
  </si>
  <si>
    <t>38380</t>
  </si>
  <si>
    <t>Plainview, TX</t>
  </si>
  <si>
    <t>38420</t>
  </si>
  <si>
    <t>Platteville, WI</t>
  </si>
  <si>
    <t>38460</t>
  </si>
  <si>
    <t>Plattsburgh, NY</t>
  </si>
  <si>
    <t>38500</t>
  </si>
  <si>
    <t>Plymouth, IN</t>
  </si>
  <si>
    <t>38540</t>
  </si>
  <si>
    <t>Pocatello, ID</t>
  </si>
  <si>
    <t>38580</t>
  </si>
  <si>
    <t>Point Pleasant, WV-OH</t>
  </si>
  <si>
    <t>38620</t>
  </si>
  <si>
    <t>Ponca City, OK</t>
  </si>
  <si>
    <t>38700</t>
  </si>
  <si>
    <t>Pontiac, IL</t>
  </si>
  <si>
    <t>38740</t>
  </si>
  <si>
    <t>Poplar Bluff, MO</t>
  </si>
  <si>
    <t>38780</t>
  </si>
  <si>
    <t>Portales, NM</t>
  </si>
  <si>
    <t>38820</t>
  </si>
  <si>
    <t>Port Angeles, WA</t>
  </si>
  <si>
    <t>38840</t>
  </si>
  <si>
    <t>Port Clinton, OH</t>
  </si>
  <si>
    <t>38860</t>
  </si>
  <si>
    <t>Portland-South Portland, ME</t>
  </si>
  <si>
    <t>38900</t>
  </si>
  <si>
    <t>Portland-Vancouver-Hillsboro, OR-WA</t>
  </si>
  <si>
    <t>38920</t>
  </si>
  <si>
    <t>Port Lavaca, TX</t>
  </si>
  <si>
    <t>38940</t>
  </si>
  <si>
    <t>Port St. Lucie, FL</t>
  </si>
  <si>
    <t>39020</t>
  </si>
  <si>
    <t>Portsmouth, OH</t>
  </si>
  <si>
    <t>39060</t>
  </si>
  <si>
    <t>Pottsville, PA</t>
  </si>
  <si>
    <t>39140</t>
  </si>
  <si>
    <t>Prescott, AZ</t>
  </si>
  <si>
    <t>39220</t>
  </si>
  <si>
    <t>Price, UT</t>
  </si>
  <si>
    <t>39260</t>
  </si>
  <si>
    <t>Prineville, OR</t>
  </si>
  <si>
    <t>39300</t>
  </si>
  <si>
    <t>Providence-Warwick, RI-MA</t>
  </si>
  <si>
    <t>39340</t>
  </si>
  <si>
    <t>Provo-Orem, UT</t>
  </si>
  <si>
    <t>39380</t>
  </si>
  <si>
    <t>Pueblo, CO</t>
  </si>
  <si>
    <t>39420</t>
  </si>
  <si>
    <t>Pullman, WA</t>
  </si>
  <si>
    <t>39460</t>
  </si>
  <si>
    <t>Punta Gorda, FL</t>
  </si>
  <si>
    <t>39500</t>
  </si>
  <si>
    <t>Quincy, IL-MO</t>
  </si>
  <si>
    <t>39540</t>
  </si>
  <si>
    <t>Racine, WI</t>
  </si>
  <si>
    <t>39580</t>
  </si>
  <si>
    <t>Raleigh, NC</t>
  </si>
  <si>
    <t>39660</t>
  </si>
  <si>
    <t>Rapid City, SD</t>
  </si>
  <si>
    <t>39700</t>
  </si>
  <si>
    <t>Raymondville, TX</t>
  </si>
  <si>
    <t>39740</t>
  </si>
  <si>
    <t>Reading, PA</t>
  </si>
  <si>
    <t>39780</t>
  </si>
  <si>
    <t>Red Bluff, CA</t>
  </si>
  <si>
    <t>39820</t>
  </si>
  <si>
    <t>Redding, CA</t>
  </si>
  <si>
    <t>39860</t>
  </si>
  <si>
    <t>Red Wing, MN</t>
  </si>
  <si>
    <t>39900</t>
  </si>
  <si>
    <t>Reno, NV</t>
  </si>
  <si>
    <t>39940</t>
  </si>
  <si>
    <t>Rexburg, ID</t>
  </si>
  <si>
    <t>39980</t>
  </si>
  <si>
    <t>Richmond, IN</t>
  </si>
  <si>
    <t>40060</t>
  </si>
  <si>
    <t>Richmond, VA</t>
  </si>
  <si>
    <t>40080</t>
  </si>
  <si>
    <t>Richmond-Berea, KY</t>
  </si>
  <si>
    <t>40100</t>
  </si>
  <si>
    <t>Rio Grande City, TX</t>
  </si>
  <si>
    <t>40140</t>
  </si>
  <si>
    <t>Riverside-San Bernardino-Ontario, CA</t>
  </si>
  <si>
    <t>40180</t>
  </si>
  <si>
    <t>Riverton, WY</t>
  </si>
  <si>
    <t>40220</t>
  </si>
  <si>
    <t>Roanoke, VA</t>
  </si>
  <si>
    <t>40260</t>
  </si>
  <si>
    <t>Roanoke Rapids, NC</t>
  </si>
  <si>
    <t>40300</t>
  </si>
  <si>
    <t>Rochelle, IL</t>
  </si>
  <si>
    <t>40340</t>
  </si>
  <si>
    <t>Rochester, MN</t>
  </si>
  <si>
    <t>40380</t>
  </si>
  <si>
    <t>Rochester, NY</t>
  </si>
  <si>
    <t>40420</t>
  </si>
  <si>
    <t>Rockford, IL</t>
  </si>
  <si>
    <t>40460</t>
  </si>
  <si>
    <t>Rockingham, NC</t>
  </si>
  <si>
    <t>40540</t>
  </si>
  <si>
    <t>Rock Springs, WY</t>
  </si>
  <si>
    <t>40580</t>
  </si>
  <si>
    <t>Rocky Mount, NC</t>
  </si>
  <si>
    <t>40620</t>
  </si>
  <si>
    <t>Rolla, MO</t>
  </si>
  <si>
    <t>40660</t>
  </si>
  <si>
    <t>Rome, GA</t>
  </si>
  <si>
    <t>40700</t>
  </si>
  <si>
    <t>Roseburg, OR</t>
  </si>
  <si>
    <t>40740</t>
  </si>
  <si>
    <t>Roswell, NM</t>
  </si>
  <si>
    <t>40780</t>
  </si>
  <si>
    <t>Russellville, AR</t>
  </si>
  <si>
    <t>40820</t>
  </si>
  <si>
    <t>Ruston, LA</t>
  </si>
  <si>
    <t>40860</t>
  </si>
  <si>
    <t>Rutland, VT</t>
  </si>
  <si>
    <t>40900</t>
  </si>
  <si>
    <t>Sacramento--Roseville--Arden-Arcade, CA</t>
  </si>
  <si>
    <t>40940</t>
  </si>
  <si>
    <t>Safford, AZ</t>
  </si>
  <si>
    <t>40980</t>
  </si>
  <si>
    <t>Saginaw, MI</t>
  </si>
  <si>
    <t>41060</t>
  </si>
  <si>
    <t>St. Cloud, MN</t>
  </si>
  <si>
    <t>41100</t>
  </si>
  <si>
    <t>St. George, UT</t>
  </si>
  <si>
    <t>41140</t>
  </si>
  <si>
    <t>St. Joseph, MO-KS</t>
  </si>
  <si>
    <t>41180</t>
  </si>
  <si>
    <t>St. Louis, MO-IL</t>
  </si>
  <si>
    <t>41220</t>
  </si>
  <si>
    <t>St. Marys, GA</t>
  </si>
  <si>
    <t>41400</t>
  </si>
  <si>
    <t>Salem, OH</t>
  </si>
  <si>
    <t>41420</t>
  </si>
  <si>
    <t>Salem, OR</t>
  </si>
  <si>
    <t>41460</t>
  </si>
  <si>
    <t>Salina, KS</t>
  </si>
  <si>
    <t>41500</t>
  </si>
  <si>
    <t>Salinas, CA</t>
  </si>
  <si>
    <t>41540</t>
  </si>
  <si>
    <t>Salisbury, MD-DE</t>
  </si>
  <si>
    <t>41620</t>
  </si>
  <si>
    <t>Salt Lake City, UT</t>
  </si>
  <si>
    <t>41660</t>
  </si>
  <si>
    <t>San Angelo, TX</t>
  </si>
  <si>
    <t>41700</t>
  </si>
  <si>
    <t>San Antonio-New Braunfels, TX</t>
  </si>
  <si>
    <t>41740</t>
  </si>
  <si>
    <t>San Diego-Carlsbad, CA</t>
  </si>
  <si>
    <t>41760</t>
  </si>
  <si>
    <t>Sandpoint, ID</t>
  </si>
  <si>
    <t>41780</t>
  </si>
  <si>
    <t>Sandusky, OH</t>
  </si>
  <si>
    <t>41820</t>
  </si>
  <si>
    <t>Sanford, NC</t>
  </si>
  <si>
    <t>41860</t>
  </si>
  <si>
    <t>San Francisco-Oakland-Hayward, CA</t>
  </si>
  <si>
    <t>41940</t>
  </si>
  <si>
    <t>San Jose-Sunnyvale-Santa Clara, CA</t>
  </si>
  <si>
    <t>42020</t>
  </si>
  <si>
    <t>San Luis Obispo-Paso Robles-Arroyo Grande, CA</t>
  </si>
  <si>
    <t>42100</t>
  </si>
  <si>
    <t>Santa Cruz-Watsonville, CA</t>
  </si>
  <si>
    <t>42140</t>
  </si>
  <si>
    <t>Santa Fe, NM</t>
  </si>
  <si>
    <t>42200</t>
  </si>
  <si>
    <t>Santa Maria-Santa Barbara, CA</t>
  </si>
  <si>
    <t>42220</t>
  </si>
  <si>
    <t>Santa Rosa, CA</t>
  </si>
  <si>
    <t>42300</t>
  </si>
  <si>
    <t>Sault Ste. Marie, MI</t>
  </si>
  <si>
    <t>42340</t>
  </si>
  <si>
    <t>Savannah, GA</t>
  </si>
  <si>
    <t>42380</t>
  </si>
  <si>
    <t>Sayre, PA</t>
  </si>
  <si>
    <t>42420</t>
  </si>
  <si>
    <t>Scottsbluff, NE</t>
  </si>
  <si>
    <t>42460</t>
  </si>
  <si>
    <t>Scottsboro, AL</t>
  </si>
  <si>
    <t>42540</t>
  </si>
  <si>
    <t>Scranton--Wilkes-Barre--Hazleton, PA</t>
  </si>
  <si>
    <t>42620</t>
  </si>
  <si>
    <t>Searcy, AR</t>
  </si>
  <si>
    <t>42660</t>
  </si>
  <si>
    <t>Seattle-Tacoma-Bellevue, WA</t>
  </si>
  <si>
    <t>42680</t>
  </si>
  <si>
    <t>Sebastian-Vero Beach, FL</t>
  </si>
  <si>
    <t>42700</t>
  </si>
  <si>
    <t>Sebring, FL</t>
  </si>
  <si>
    <t>42740</t>
  </si>
  <si>
    <t>Sedalia, MO</t>
  </si>
  <si>
    <t>42780</t>
  </si>
  <si>
    <t>Selinsgrove, PA</t>
  </si>
  <si>
    <t>42820</t>
  </si>
  <si>
    <t>Selma, AL</t>
  </si>
  <si>
    <t>42860</t>
  </si>
  <si>
    <t>Seneca, SC</t>
  </si>
  <si>
    <t>42900</t>
  </si>
  <si>
    <t>Seneca Falls, NY</t>
  </si>
  <si>
    <t>42940</t>
  </si>
  <si>
    <t>Sevierville, TN</t>
  </si>
  <si>
    <t>42980</t>
  </si>
  <si>
    <t>Seymour, IN</t>
  </si>
  <si>
    <t>43020</t>
  </si>
  <si>
    <t>Shawano, WI</t>
  </si>
  <si>
    <t>43060</t>
  </si>
  <si>
    <t>Shawnee, OK</t>
  </si>
  <si>
    <t>43100</t>
  </si>
  <si>
    <t>Sheboygan, WI</t>
  </si>
  <si>
    <t>43140</t>
  </si>
  <si>
    <t>Shelby, NC</t>
  </si>
  <si>
    <t>43180</t>
  </si>
  <si>
    <t>Shelbyville, TN</t>
  </si>
  <si>
    <t>43220</t>
  </si>
  <si>
    <t>Shelton, WA</t>
  </si>
  <si>
    <t>43260</t>
  </si>
  <si>
    <t>Sheridan, WY</t>
  </si>
  <si>
    <t>43300</t>
  </si>
  <si>
    <t>Sherman-Denison, TX</t>
  </si>
  <si>
    <t>43320</t>
  </si>
  <si>
    <t>Show Low, AZ</t>
  </si>
  <si>
    <t>43340</t>
  </si>
  <si>
    <t>Shreveport-Bossier City, LA</t>
  </si>
  <si>
    <t>43380</t>
  </si>
  <si>
    <t>Sidney, OH</t>
  </si>
  <si>
    <t>43420</t>
  </si>
  <si>
    <t>Sierra Vista-Douglas, AZ</t>
  </si>
  <si>
    <t>43460</t>
  </si>
  <si>
    <t>Sikeston, MO</t>
  </si>
  <si>
    <t>43500</t>
  </si>
  <si>
    <t>Silver City, NM</t>
  </si>
  <si>
    <t>43580</t>
  </si>
  <si>
    <t>Sioux City, IA-NE-SD</t>
  </si>
  <si>
    <t>43620</t>
  </si>
  <si>
    <t>Sioux Falls, SD</t>
  </si>
  <si>
    <t>43660</t>
  </si>
  <si>
    <t>Snyder, TX</t>
  </si>
  <si>
    <t>43700</t>
  </si>
  <si>
    <t>Somerset, KY</t>
  </si>
  <si>
    <t>43740</t>
  </si>
  <si>
    <t>Somerset, PA</t>
  </si>
  <si>
    <t>43760</t>
  </si>
  <si>
    <t>Sonora, CA</t>
  </si>
  <si>
    <t>43780</t>
  </si>
  <si>
    <t>South Bend-Mishawaka, IN-MI</t>
  </si>
  <si>
    <t>43900</t>
  </si>
  <si>
    <t>Spartanburg, SC</t>
  </si>
  <si>
    <t>43940</t>
  </si>
  <si>
    <t>Spearfish, SD</t>
  </si>
  <si>
    <t>43980</t>
  </si>
  <si>
    <t>Spencer, IA</t>
  </si>
  <si>
    <t>44020</t>
  </si>
  <si>
    <t>Spirit Lake, IA</t>
  </si>
  <si>
    <t>44060</t>
  </si>
  <si>
    <t>Spokane-Spokane Valley, WA</t>
  </si>
  <si>
    <t>44100</t>
  </si>
  <si>
    <t>Springfield, IL</t>
  </si>
  <si>
    <t>44140</t>
  </si>
  <si>
    <t>Springfield, MA</t>
  </si>
  <si>
    <t>44180</t>
  </si>
  <si>
    <t>Springfield, MO</t>
  </si>
  <si>
    <t>44220</t>
  </si>
  <si>
    <t>Springfield, OH</t>
  </si>
  <si>
    <t>44260</t>
  </si>
  <si>
    <t>Starkville, MS</t>
  </si>
  <si>
    <t>44300</t>
  </si>
  <si>
    <t>State College, PA</t>
  </si>
  <si>
    <t>44340</t>
  </si>
  <si>
    <t>Statesboro, GA</t>
  </si>
  <si>
    <t>44420</t>
  </si>
  <si>
    <t>Staunton-Waynesboro, VA</t>
  </si>
  <si>
    <t>44460</t>
  </si>
  <si>
    <t>Steamboat Springs, CO</t>
  </si>
  <si>
    <t>44500</t>
  </si>
  <si>
    <t>Stephenville, TX</t>
  </si>
  <si>
    <t>44540</t>
  </si>
  <si>
    <t>Sterling, CO</t>
  </si>
  <si>
    <t>44580</t>
  </si>
  <si>
    <t>Sterling, IL</t>
  </si>
  <si>
    <t>44620</t>
  </si>
  <si>
    <t>Stevens Point, WI</t>
  </si>
  <si>
    <t>44660</t>
  </si>
  <si>
    <t>Stillwater, OK</t>
  </si>
  <si>
    <t>44700</t>
  </si>
  <si>
    <t>Stockton-Lodi, CA</t>
  </si>
  <si>
    <t>44740</t>
  </si>
  <si>
    <t>Storm Lake, IA</t>
  </si>
  <si>
    <t>44780</t>
  </si>
  <si>
    <t>Sturgis, MI</t>
  </si>
  <si>
    <t>44860</t>
  </si>
  <si>
    <t>Sulphur Springs, TX</t>
  </si>
  <si>
    <t>44900</t>
  </si>
  <si>
    <t>Summerville, GA</t>
  </si>
  <si>
    <t>44920</t>
  </si>
  <si>
    <t>Summit Park, UT</t>
  </si>
  <si>
    <t>44940</t>
  </si>
  <si>
    <t>Sumter, SC</t>
  </si>
  <si>
    <t>44980</t>
  </si>
  <si>
    <t>Sunbury, PA</t>
  </si>
  <si>
    <t>45000</t>
  </si>
  <si>
    <t>Susanville, CA</t>
  </si>
  <si>
    <t>45020</t>
  </si>
  <si>
    <t>Sweetwater, TX</t>
  </si>
  <si>
    <t>45060</t>
  </si>
  <si>
    <t>Syracuse, NY</t>
  </si>
  <si>
    <t>45140</t>
  </si>
  <si>
    <t>Tahlequah, OK</t>
  </si>
  <si>
    <t>45180</t>
  </si>
  <si>
    <t>Talladega-Sylacauga, AL</t>
  </si>
  <si>
    <t>45220</t>
  </si>
  <si>
    <t>Tallahassee, FL</t>
  </si>
  <si>
    <t>45300</t>
  </si>
  <si>
    <t>Tampa-St. Petersburg-Clearwater, FL</t>
  </si>
  <si>
    <t>45340</t>
  </si>
  <si>
    <t>Taos, NM</t>
  </si>
  <si>
    <t>45380</t>
  </si>
  <si>
    <t>Taylorville, IL</t>
  </si>
  <si>
    <t>45460</t>
  </si>
  <si>
    <t>Terre Haute, IN</t>
  </si>
  <si>
    <t>45500</t>
  </si>
  <si>
    <t>Texarkana, TX-AR</t>
  </si>
  <si>
    <t>45520</t>
  </si>
  <si>
    <t>The Dalles, OR</t>
  </si>
  <si>
    <t>45540</t>
  </si>
  <si>
    <t>The Villages, FL</t>
  </si>
  <si>
    <t>45580</t>
  </si>
  <si>
    <t>Thomaston, GA</t>
  </si>
  <si>
    <t>45620</t>
  </si>
  <si>
    <t>Thomasville, GA</t>
  </si>
  <si>
    <t>45660</t>
  </si>
  <si>
    <t>Tiffin, OH</t>
  </si>
  <si>
    <t>45700</t>
  </si>
  <si>
    <t>Tifton, GA</t>
  </si>
  <si>
    <t>45740</t>
  </si>
  <si>
    <t>Toccoa, GA</t>
  </si>
  <si>
    <t>45780</t>
  </si>
  <si>
    <t>Toledo, OH</t>
  </si>
  <si>
    <t>45820</t>
  </si>
  <si>
    <t>Topeka, KS</t>
  </si>
  <si>
    <t>45860</t>
  </si>
  <si>
    <t>Torrington, CT</t>
  </si>
  <si>
    <t>45900</t>
  </si>
  <si>
    <t>Traverse City, MI</t>
  </si>
  <si>
    <t>45940</t>
  </si>
  <si>
    <t>Trenton, NJ</t>
  </si>
  <si>
    <t>45980</t>
  </si>
  <si>
    <t>Troy, AL</t>
  </si>
  <si>
    <t>46020</t>
  </si>
  <si>
    <t>Truckee-Grass Valley, CA</t>
  </si>
  <si>
    <t>46060</t>
  </si>
  <si>
    <t>Tucson, AZ</t>
  </si>
  <si>
    <t>46100</t>
  </si>
  <si>
    <t>Tullahoma-Manchester, TN</t>
  </si>
  <si>
    <t>46140</t>
  </si>
  <si>
    <t>Tulsa, OK</t>
  </si>
  <si>
    <t>46180</t>
  </si>
  <si>
    <t>Tupelo, MS</t>
  </si>
  <si>
    <t>46220</t>
  </si>
  <si>
    <t>Tuscaloosa, AL</t>
  </si>
  <si>
    <t>46300</t>
  </si>
  <si>
    <t>Twin Falls, ID</t>
  </si>
  <si>
    <t>46340</t>
  </si>
  <si>
    <t>Tyler, TX</t>
  </si>
  <si>
    <t>46380</t>
  </si>
  <si>
    <t>Ukiah, CA</t>
  </si>
  <si>
    <t>46460</t>
  </si>
  <si>
    <t>Union City, TN-KY</t>
  </si>
  <si>
    <t>46500</t>
  </si>
  <si>
    <t>Urbana, OH</t>
  </si>
  <si>
    <t>46520</t>
  </si>
  <si>
    <t>Urban Honolulu, HI</t>
  </si>
  <si>
    <t>46540</t>
  </si>
  <si>
    <t>Utica-Rome, NY</t>
  </si>
  <si>
    <t>46620</t>
  </si>
  <si>
    <t>Uvalde, TX</t>
  </si>
  <si>
    <t>46660</t>
  </si>
  <si>
    <t>Valdosta, GA</t>
  </si>
  <si>
    <t>46700</t>
  </si>
  <si>
    <t>Vallejo-Fairfield, CA</t>
  </si>
  <si>
    <t>46740</t>
  </si>
  <si>
    <t>Valley, AL</t>
  </si>
  <si>
    <t>46780</t>
  </si>
  <si>
    <t>Van Wert, OH</t>
  </si>
  <si>
    <t>46820</t>
  </si>
  <si>
    <t>Vermillion, SD</t>
  </si>
  <si>
    <t>46860</t>
  </si>
  <si>
    <t>Vernal, UT</t>
  </si>
  <si>
    <t>46900</t>
  </si>
  <si>
    <t>Vernon, TX</t>
  </si>
  <si>
    <t>46980</t>
  </si>
  <si>
    <t>Vicksburg, MS</t>
  </si>
  <si>
    <t>47020</t>
  </si>
  <si>
    <t>Victoria, TX</t>
  </si>
  <si>
    <t>47080</t>
  </si>
  <si>
    <t>Vidalia, GA</t>
  </si>
  <si>
    <t>47180</t>
  </si>
  <si>
    <t>Vincennes, IN</t>
  </si>
  <si>
    <t>47220</t>
  </si>
  <si>
    <t>Vineland-Bridgeton, NJ</t>
  </si>
  <si>
    <t>47260</t>
  </si>
  <si>
    <t>Virginia Beach-Norfolk-Newport News, VA-NC</t>
  </si>
  <si>
    <t>47300</t>
  </si>
  <si>
    <t>Visalia-Porterville, CA</t>
  </si>
  <si>
    <t>47340</t>
  </si>
  <si>
    <t>Wabash, IN</t>
  </si>
  <si>
    <t>47380</t>
  </si>
  <si>
    <t>Waco, TX</t>
  </si>
  <si>
    <t>47420</t>
  </si>
  <si>
    <t>Wahpeton, ND-MN</t>
  </si>
  <si>
    <t>47460</t>
  </si>
  <si>
    <t>Walla Walla, WA</t>
  </si>
  <si>
    <t>47540</t>
  </si>
  <si>
    <t>Wapakoneta, OH</t>
  </si>
  <si>
    <t>47580</t>
  </si>
  <si>
    <t>Warner Robins, GA</t>
  </si>
  <si>
    <t>47620</t>
  </si>
  <si>
    <t>Warren, PA</t>
  </si>
  <si>
    <t>47660</t>
  </si>
  <si>
    <t>Warrensburg, MO</t>
  </si>
  <si>
    <t>47700</t>
  </si>
  <si>
    <t>Warsaw, IN</t>
  </si>
  <si>
    <t>47780</t>
  </si>
  <si>
    <t>Washington, IN</t>
  </si>
  <si>
    <t>47820</t>
  </si>
  <si>
    <t>Washington, NC</t>
  </si>
  <si>
    <t>47900</t>
  </si>
  <si>
    <t>Washington-Arlington-Alexandria, DC-VA-MD-WV</t>
  </si>
  <si>
    <t>47940</t>
  </si>
  <si>
    <t>Waterloo-Cedar Falls, IA</t>
  </si>
  <si>
    <t>47980</t>
  </si>
  <si>
    <t>Watertown, SD</t>
  </si>
  <si>
    <t>48020</t>
  </si>
  <si>
    <t>Watertown-Fort Atkinson, WI</t>
  </si>
  <si>
    <t>48060</t>
  </si>
  <si>
    <t>Watertown-Fort Drum, NY</t>
  </si>
  <si>
    <t>48140</t>
  </si>
  <si>
    <t>Wausau, WI</t>
  </si>
  <si>
    <t>48180</t>
  </si>
  <si>
    <t>Waycross, GA</t>
  </si>
  <si>
    <t>48220</t>
  </si>
  <si>
    <t>Weatherford, OK</t>
  </si>
  <si>
    <t>48260</t>
  </si>
  <si>
    <t>Weirton-Steubenville, WV-OH</t>
  </si>
  <si>
    <t>48300</t>
  </si>
  <si>
    <t>Wenatchee, WA</t>
  </si>
  <si>
    <t>48460</t>
  </si>
  <si>
    <t>West Plains, MO</t>
  </si>
  <si>
    <t>48540</t>
  </si>
  <si>
    <t>Wheeling, WV-OH</t>
  </si>
  <si>
    <t>48580</t>
  </si>
  <si>
    <t>Whitewater-Elkhorn, WI</t>
  </si>
  <si>
    <t>48620</t>
  </si>
  <si>
    <t>Wichita, KS</t>
  </si>
  <si>
    <t>48660</t>
  </si>
  <si>
    <t>Wichita Falls, TX</t>
  </si>
  <si>
    <t>48700</t>
  </si>
  <si>
    <t>Williamsport, PA</t>
  </si>
  <si>
    <t>48780</t>
  </si>
  <si>
    <t>Williston, ND</t>
  </si>
  <si>
    <t>48820</t>
  </si>
  <si>
    <t>Willmar, MN</t>
  </si>
  <si>
    <t>48900</t>
  </si>
  <si>
    <t>Wilmington, NC</t>
  </si>
  <si>
    <t>48940</t>
  </si>
  <si>
    <t>Wilmington, OH</t>
  </si>
  <si>
    <t>48980</t>
  </si>
  <si>
    <t>Wilson, NC</t>
  </si>
  <si>
    <t>49020</t>
  </si>
  <si>
    <t>Winchester, VA-WV</t>
  </si>
  <si>
    <t>49080</t>
  </si>
  <si>
    <t>Winnemucca, NV</t>
  </si>
  <si>
    <t>49100</t>
  </si>
  <si>
    <t>Winona, MN</t>
  </si>
  <si>
    <t>49180</t>
  </si>
  <si>
    <t>Winston-Salem, NC</t>
  </si>
  <si>
    <t>49220</t>
  </si>
  <si>
    <t>Wisconsin Rapids-Marshfield, WI</t>
  </si>
  <si>
    <t>49300</t>
  </si>
  <si>
    <t>Wooster, OH</t>
  </si>
  <si>
    <t>49340</t>
  </si>
  <si>
    <t>Worcester, MA-CT</t>
  </si>
  <si>
    <t>49380</t>
  </si>
  <si>
    <t>Worthington, MN</t>
  </si>
  <si>
    <t>49420</t>
  </si>
  <si>
    <t>Yakima, WA</t>
  </si>
  <si>
    <t>49460</t>
  </si>
  <si>
    <t>Yankton, SD</t>
  </si>
  <si>
    <t>49620</t>
  </si>
  <si>
    <t>York-Hanover, PA</t>
  </si>
  <si>
    <t>49660</t>
  </si>
  <si>
    <t>Youngstown-Warren-Boardman, OH-PA</t>
  </si>
  <si>
    <t>49700</t>
  </si>
  <si>
    <t>Yuba City, CA</t>
  </si>
  <si>
    <t>49740</t>
  </si>
  <si>
    <t>Yuma, AZ</t>
  </si>
  <si>
    <t>49780</t>
  </si>
  <si>
    <t>Zanesville, OH</t>
  </si>
  <si>
    <t>49820</t>
  </si>
  <si>
    <t>Zapata, TX</t>
  </si>
  <si>
    <t>Less than $10,000</t>
  </si>
  <si>
    <t>$10,000 to $14,999</t>
  </si>
  <si>
    <t>$15,000 to $24,999</t>
  </si>
  <si>
    <t>$25,000 to $34,999</t>
  </si>
  <si>
    <t>$35,000 to $49,999</t>
  </si>
  <si>
    <t>$50,000 to $74,999</t>
  </si>
  <si>
    <t>$75,000 to $99,999</t>
  </si>
  <si>
    <t>$100,000 to $124,999</t>
  </si>
  <si>
    <t>$125,000 to $149,999</t>
  </si>
  <si>
    <t>$150,000 to $199,999</t>
  </si>
  <si>
    <t>$200,000 or more</t>
  </si>
  <si>
    <t>Don't Know</t>
  </si>
  <si>
    <t>Refused</t>
  </si>
  <si>
    <t>Don't know</t>
  </si>
  <si>
    <t>White</t>
  </si>
  <si>
    <t>Black or African American</t>
  </si>
  <si>
    <t>Asian</t>
  </si>
  <si>
    <t>American Indian or Alaska Native</t>
  </si>
  <si>
    <t>Native Hawaiian or other Pacific Islander</t>
  </si>
  <si>
    <t>Multiple responses selected</t>
  </si>
  <si>
    <t>Some other race</t>
  </si>
  <si>
    <t>[$FNAME:R1]</t>
  </si>
  <si>
    <t>[$FNAME:R2]</t>
  </si>
  <si>
    <t>[$FNAME:R3]</t>
  </si>
  <si>
    <t>[$FNAME:R4]</t>
  </si>
  <si>
    <t>[$FNAME:R5]</t>
  </si>
  <si>
    <t>[$FNAME:R6]</t>
  </si>
  <si>
    <t>[$FNAME:R7]</t>
  </si>
  <si>
    <t>[$FNAME:R8]</t>
  </si>
  <si>
    <t>[$FNAME:R9]</t>
  </si>
  <si>
    <t>[$FNAME:R10]</t>
  </si>
  <si>
    <t>[$FNAME:R11]</t>
  </si>
  <si>
    <t>[$FNAME:R12]</t>
  </si>
  <si>
    <t>[$FNAME:R13]</t>
  </si>
  <si>
    <t>[$FNAME:R14]</t>
  </si>
  <si>
    <t>[$FNAME:R15]</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</si>
  <si>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</si>
  <si>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</si>
  <si>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</si>
  <si>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</si>
  <si>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</si>
  <si>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</si>
  <si>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</si>
  <si>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</si>
  <si>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</si>
  <si>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</si>
  <si>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</si>
  <si>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</si>
  <si>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</si>
  <si>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</si>
  <si>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</si>
  <si>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</si>
  <si>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</si>
  <si>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</si>
  <si>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</si>
  <si>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</si>
  <si>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</si>
  <si>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25</t>
  </si>
  <si>
    <t>Massachusetts</t>
  </si>
  <si>
    <t>26</t>
  </si>
  <si>
    <t>Michigan</t>
  </si>
  <si>
    <t>27</t>
  </si>
  <si>
    <t>Minnesota</t>
  </si>
  <si>
    <t>28</t>
  </si>
  <si>
    <t>Mississippi</t>
  </si>
  <si>
    <t>29</t>
  </si>
  <si>
    <t>Missouri</t>
  </si>
  <si>
    <t>Montana</t>
  </si>
  <si>
    <t>Nebraska</t>
  </si>
  <si>
    <t>Nevada</t>
  </si>
  <si>
    <t>New Hampshire</t>
  </si>
  <si>
    <t>New Jersey</t>
  </si>
  <si>
    <t>35</t>
  </si>
  <si>
    <t>New Mexico</t>
  </si>
  <si>
    <t>36</t>
  </si>
  <si>
    <t>New York</t>
  </si>
  <si>
    <t>37</t>
  </si>
  <si>
    <t>North Carolina</t>
  </si>
  <si>
    <t>38</t>
  </si>
  <si>
    <t>North Dakota</t>
  </si>
  <si>
    <t>39</t>
  </si>
  <si>
    <t>Ohio</t>
  </si>
  <si>
    <t>Oklahoma</t>
  </si>
  <si>
    <t>Oregon</t>
  </si>
  <si>
    <t>Pennsylvania</t>
  </si>
  <si>
    <t>Rhode Island</t>
  </si>
  <si>
    <t>45</t>
  </si>
  <si>
    <t>South Carolina</t>
  </si>
  <si>
    <t>46</t>
  </si>
  <si>
    <t>South Dakota</t>
  </si>
  <si>
    <t>47</t>
  </si>
  <si>
    <t>Tennessee</t>
  </si>
  <si>
    <t>48</t>
  </si>
  <si>
    <t>Texas</t>
  </si>
  <si>
    <t>49</t>
  </si>
  <si>
    <t>Utah</t>
  </si>
  <si>
    <t>Vermont</t>
  </si>
  <si>
    <t>Virginia</t>
  </si>
  <si>
    <t>Washington</t>
  </si>
  <si>
    <t>West Virginia</t>
  </si>
  <si>
    <t>55</t>
  </si>
  <si>
    <t>Wisconsin</t>
  </si>
  <si>
    <t>56</t>
  </si>
  <si>
    <t>Wyoming</t>
  </si>
  <si>
    <t>Cost / price of home</t>
  </si>
  <si>
    <t>Home size and characteristics</t>
  </si>
  <si>
    <t>Neighborhood characteristics</t>
  </si>
  <si>
    <t>Home or lot size</t>
  </si>
  <si>
    <t>School district / system</t>
  </si>
  <si>
    <t>Convenient to work</t>
  </si>
  <si>
    <t>Convenient to school</t>
  </si>
  <si>
    <t>Convenient to retail (shopping, entertainment, restaurants)</t>
  </si>
  <si>
    <t>Close to friends and family</t>
  </si>
  <si>
    <t>Close to public transportation</t>
  </si>
  <si>
    <t>Close to scenic locations (beach, lake, golf courses)</t>
  </si>
  <si>
    <t>No other choices apply</t>
  </si>
  <si>
    <t xml:space="preserve">Own </t>
  </si>
  <si>
    <t xml:space="preserve">Rent </t>
  </si>
  <si>
    <t xml:space="preserve">Some other arrangement </t>
  </si>
  <si>
    <t>0-49</t>
  </si>
  <si>
    <t>75</t>
  </si>
  <si>
    <t>50-99</t>
  </si>
  <si>
    <t>150</t>
  </si>
  <si>
    <t>100-249</t>
  </si>
  <si>
    <t>350</t>
  </si>
  <si>
    <t>250-499</t>
  </si>
  <si>
    <t>5000</t>
  </si>
  <si>
    <t>4,000-999,999</t>
  </si>
  <si>
    <t>New roadways</t>
  </si>
  <si>
    <t>Existing roadway maintenance / reconstruction</t>
  </si>
  <si>
    <t>Public transportation</t>
  </si>
  <si>
    <t>Sidewalks</t>
  </si>
  <si>
    <t>Parking</t>
  </si>
  <si>
    <t>High-occupancy vehicle lanes</t>
  </si>
  <si>
    <t>Bike lanes and paths</t>
  </si>
  <si>
    <t>Bike lanes</t>
  </si>
  <si>
    <t>Recreational trails</t>
  </si>
  <si>
    <t>Transportation system management / signal coordination</t>
  </si>
  <si>
    <t xml:space="preserve">Yes </t>
  </si>
  <si>
    <t>English</t>
  </si>
  <si>
    <t>EspaÃ±ol</t>
  </si>
  <si>
    <t>one adult, no children</t>
  </si>
  <si>
    <t>2+ adults, no children</t>
  </si>
  <si>
    <t>one adult, youngest child 0-5</t>
  </si>
  <si>
    <t>2+ adults, youngest child 0-5</t>
  </si>
  <si>
    <t>one adult, youngest child 6-15</t>
  </si>
  <si>
    <t>2+ adults, youngest child 6-15</t>
  </si>
  <si>
    <t>one adult, youngest child 16-21</t>
  </si>
  <si>
    <t>2+ adults, youngest child 16-21</t>
  </si>
  <si>
    <t>one adult, retired, no children</t>
  </si>
  <si>
    <t>2+ adults, retired, no children</t>
  </si>
  <si>
    <t>Home Location</t>
  </si>
  <si>
    <t>Work Location</t>
  </si>
  <si>
    <t>School Location</t>
  </si>
  <si>
    <t>Other Location</t>
  </si>
  <si>
    <t>The day before</t>
  </si>
  <si>
    <t>A few days before</t>
  </si>
  <si>
    <t>A week before</t>
  </si>
  <si>
    <t>More than a week before but within a month</t>
  </si>
  <si>
    <t>More than a month before</t>
  </si>
  <si>
    <t>American Motors</t>
  </si>
  <si>
    <t>Jeep (Includes Willys/Kaiser-Jeep)</t>
  </si>
  <si>
    <t>AM General</t>
  </si>
  <si>
    <t>Chrysler/Daimler Chrysler</t>
  </si>
  <si>
    <t>Dodge</t>
  </si>
  <si>
    <t>Imperial</t>
  </si>
  <si>
    <t>Plymouth</t>
  </si>
  <si>
    <t>Eagle</t>
  </si>
  <si>
    <t>Ford</t>
  </si>
  <si>
    <t>Lincoln</t>
  </si>
  <si>
    <t>Mercury</t>
  </si>
  <si>
    <t>Buick</t>
  </si>
  <si>
    <t xml:space="preserve">Cadillac </t>
  </si>
  <si>
    <t>Chevrolet</t>
  </si>
  <si>
    <t>Oldsmobile</t>
  </si>
  <si>
    <t>Pontiac</t>
  </si>
  <si>
    <t>GMC</t>
  </si>
  <si>
    <t>Saturn</t>
  </si>
  <si>
    <t>Grumman/Grumman-Olson</t>
  </si>
  <si>
    <t>Coda</t>
  </si>
  <si>
    <t>Other Domestic</t>
  </si>
  <si>
    <t>Volkswagen</t>
  </si>
  <si>
    <t>Alfa Romeo</t>
  </si>
  <si>
    <t>Audi</t>
  </si>
  <si>
    <t>Austin/Austin Healey</t>
  </si>
  <si>
    <t>BMW</t>
  </si>
  <si>
    <t>Nissan/Datsun</t>
  </si>
  <si>
    <t>Fiat</t>
  </si>
  <si>
    <t>Honda</t>
  </si>
  <si>
    <t>Isuzu</t>
  </si>
  <si>
    <t>Jaguar</t>
  </si>
  <si>
    <t>Lancia</t>
  </si>
  <si>
    <t>Mazda</t>
  </si>
  <si>
    <t>Mercedes Benz</t>
  </si>
  <si>
    <t>MG</t>
  </si>
  <si>
    <t>Peugeot</t>
  </si>
  <si>
    <t>Porsche</t>
  </si>
  <si>
    <t>Renault</t>
  </si>
  <si>
    <t>Saab</t>
  </si>
  <si>
    <t>Subaru</t>
  </si>
  <si>
    <t>Toyota</t>
  </si>
  <si>
    <t>Triumph</t>
  </si>
  <si>
    <t>Volvo</t>
  </si>
  <si>
    <t>Mitsubishi</t>
  </si>
  <si>
    <t>Suzuki</t>
  </si>
  <si>
    <t>Acura</t>
  </si>
  <si>
    <t>Hyundai</t>
  </si>
  <si>
    <t>Merkur</t>
  </si>
  <si>
    <t>57</t>
  </si>
  <si>
    <t>Yugo</t>
  </si>
  <si>
    <t>58</t>
  </si>
  <si>
    <t>Infiniti</t>
  </si>
  <si>
    <t>59</t>
  </si>
  <si>
    <t>Lexus</t>
  </si>
  <si>
    <t>Daihatsu</t>
  </si>
  <si>
    <t>Sterling</t>
  </si>
  <si>
    <t>Land Rover</t>
  </si>
  <si>
    <t>KIA</t>
  </si>
  <si>
    <t>Daewoo</t>
  </si>
  <si>
    <t>65</t>
  </si>
  <si>
    <t>Smart</t>
  </si>
  <si>
    <t>67</t>
  </si>
  <si>
    <t>Scion</t>
  </si>
  <si>
    <t>69</t>
  </si>
  <si>
    <t>Other Import</t>
  </si>
  <si>
    <t>BSA</t>
  </si>
  <si>
    <t>Ducati</t>
  </si>
  <si>
    <t>Harley-Davidson</t>
  </si>
  <si>
    <t>Kawasaki</t>
  </si>
  <si>
    <t>Moto-Guzzi</t>
  </si>
  <si>
    <t>Norton</t>
  </si>
  <si>
    <t>76</t>
  </si>
  <si>
    <t>Yamaha</t>
  </si>
  <si>
    <t>77</t>
  </si>
  <si>
    <t>Victory</t>
  </si>
  <si>
    <t>Brockway</t>
  </si>
  <si>
    <t>Diamond Reo or Reo</t>
  </si>
  <si>
    <t>Freightliner</t>
  </si>
  <si>
    <t>FWD</t>
  </si>
  <si>
    <t>International Harvester/Navistar</t>
  </si>
  <si>
    <t>85</t>
  </si>
  <si>
    <t>Kenworth</t>
  </si>
  <si>
    <t>86</t>
  </si>
  <si>
    <t>Mack</t>
  </si>
  <si>
    <t>87</t>
  </si>
  <si>
    <t>Peterbilt</t>
  </si>
  <si>
    <t>88</t>
  </si>
  <si>
    <t>Iveco/Magirus</t>
  </si>
  <si>
    <t>89</t>
  </si>
  <si>
    <t>White/Autocar-White/GMC</t>
  </si>
  <si>
    <t>Bluebird</t>
  </si>
  <si>
    <t>Eagle Coach</t>
  </si>
  <si>
    <t>Gillig</t>
  </si>
  <si>
    <t>MCI</t>
  </si>
  <si>
    <t>Thomas Built</t>
  </si>
  <si>
    <t>98</t>
  </si>
  <si>
    <t>Other</t>
  </si>
  <si>
    <t>99</t>
  </si>
  <si>
    <t>Unknown</t>
  </si>
  <si>
    <t>997</t>
  </si>
  <si>
    <t>Cane</t>
  </si>
  <si>
    <t>Walker</t>
  </si>
  <si>
    <t>White cane</t>
  </si>
  <si>
    <t>Seeing-eye dog or other K-9 assistance</t>
  </si>
  <si>
    <t>Crutches</t>
  </si>
  <si>
    <t>Motorized scooter</t>
  </si>
  <si>
    <t>Manual wheelchair</t>
  </si>
  <si>
    <t>Motorized wheelchair</t>
  </si>
  <si>
    <t>6 months or less</t>
  </si>
  <si>
    <t>More than 6 months</t>
  </si>
  <si>
    <t>All [$YOUR_THEIR] life</t>
  </si>
  <si>
    <t>1001</t>
  </si>
  <si>
    <t>Rambler American</t>
  </si>
  <si>
    <t>1002</t>
  </si>
  <si>
    <t>Rebel/Matador/Marlin</t>
  </si>
  <si>
    <t>1003</t>
  </si>
  <si>
    <t>Ambassador</t>
  </si>
  <si>
    <t>1004</t>
  </si>
  <si>
    <t>Pacer</t>
  </si>
  <si>
    <t>1005</t>
  </si>
  <si>
    <t>AMX</t>
  </si>
  <si>
    <t>1006</t>
  </si>
  <si>
    <t>Javelin</t>
  </si>
  <si>
    <t>1007</t>
  </si>
  <si>
    <t>Hornet/Concord</t>
  </si>
  <si>
    <t>1008</t>
  </si>
  <si>
    <t>Gremlin/Spirit</t>
  </si>
  <si>
    <t>1009</t>
  </si>
  <si>
    <t>1010</t>
  </si>
  <si>
    <t>Eagle SX-4</t>
  </si>
  <si>
    <t>1398</t>
  </si>
  <si>
    <t>Other (automobile)</t>
  </si>
  <si>
    <t>1399</t>
  </si>
  <si>
    <t>Unknown (automobile)</t>
  </si>
  <si>
    <t>2001</t>
  </si>
  <si>
    <t>Compass</t>
  </si>
  <si>
    <t>2401</t>
  </si>
  <si>
    <t>CJ-2/CJ-3/CJ-4</t>
  </si>
  <si>
    <t>2402</t>
  </si>
  <si>
    <t>CJ-5/CJ-6/CJ-7/CJ-8</t>
  </si>
  <si>
    <t>2403</t>
  </si>
  <si>
    <t>YJ series/Wrangler</t>
  </si>
  <si>
    <t>2404</t>
  </si>
  <si>
    <t xml:space="preserve">Cherokee (1984 on) </t>
  </si>
  <si>
    <t>2405</t>
  </si>
  <si>
    <t>Liberty</t>
  </si>
  <si>
    <t>2406</t>
  </si>
  <si>
    <t>Commander</t>
  </si>
  <si>
    <t>2407</t>
  </si>
  <si>
    <t>Patriot</t>
  </si>
  <si>
    <t>2408</t>
  </si>
  <si>
    <t>Renegade</t>
  </si>
  <si>
    <t>2421</t>
  </si>
  <si>
    <t>Cherokee (thru 1983)</t>
  </si>
  <si>
    <t>2422</t>
  </si>
  <si>
    <t>Grand Cherokee (2014 on)</t>
  </si>
  <si>
    <t>2431</t>
  </si>
  <si>
    <t>Grand Wagoneer</t>
  </si>
  <si>
    <t>2481</t>
  </si>
  <si>
    <t>Pick-up</t>
  </si>
  <si>
    <t>2482</t>
  </si>
  <si>
    <t>Comanche</t>
  </si>
  <si>
    <t>2498</t>
  </si>
  <si>
    <t xml:space="preserve">Other (light truck) </t>
  </si>
  <si>
    <t>2499</t>
  </si>
  <si>
    <t xml:space="preserve">Unknown (light truck) </t>
  </si>
  <si>
    <t>2999</t>
  </si>
  <si>
    <t>Unknown (JEEP)</t>
  </si>
  <si>
    <t>3401</t>
  </si>
  <si>
    <t>Dispatcher (Jeep)</t>
  </si>
  <si>
    <t>3402</t>
  </si>
  <si>
    <t>Hummer H3</t>
  </si>
  <si>
    <t>3421</t>
  </si>
  <si>
    <t>Hummer (1993-2003)</t>
  </si>
  <si>
    <t>3431</t>
  </si>
  <si>
    <t>Hummer (2004 on)</t>
  </si>
  <si>
    <t>3441</t>
  </si>
  <si>
    <t>MV-1</t>
  </si>
  <si>
    <t>3466</t>
  </si>
  <si>
    <t>Dispatcher (Van)</t>
  </si>
  <si>
    <t>3481</t>
  </si>
  <si>
    <t>Hummer (Pickup)</t>
  </si>
  <si>
    <t>3482</t>
  </si>
  <si>
    <t>Hummer H3T</t>
  </si>
  <si>
    <t>3498</t>
  </si>
  <si>
    <t xml:space="preserve">Other (light truck)  </t>
  </si>
  <si>
    <t>3499</t>
  </si>
  <si>
    <t xml:space="preserve">Unknown (light truck)  </t>
  </si>
  <si>
    <t>3884</t>
  </si>
  <si>
    <t>Medium/Heavy Truck</t>
  </si>
  <si>
    <t>3898</t>
  </si>
  <si>
    <t>Other (medium/heavy truck)</t>
  </si>
  <si>
    <t>3983</t>
  </si>
  <si>
    <t>Bus: Rear engine, Flat front</t>
  </si>
  <si>
    <t>3988</t>
  </si>
  <si>
    <t>Other (bus)</t>
  </si>
  <si>
    <t>3989</t>
  </si>
  <si>
    <t>Unknown Bus Type</t>
  </si>
  <si>
    <t>3998</t>
  </si>
  <si>
    <t>Other (vehicle)</t>
  </si>
  <si>
    <t>3999</t>
  </si>
  <si>
    <t xml:space="preserve">Unknown (AM GENERAL) </t>
  </si>
  <si>
    <t>6009</t>
  </si>
  <si>
    <t>Cordoba</t>
  </si>
  <si>
    <t>6010</t>
  </si>
  <si>
    <t>New Yorker (thru 1978)/Newport/5th Avenue/Imperial (1979-1983) (excludes all FWD)</t>
  </si>
  <si>
    <t>6014</t>
  </si>
  <si>
    <t>New Yorker/E-Class/Imperial (1990-1993)/Fifth Avenue</t>
  </si>
  <si>
    <t>6015</t>
  </si>
  <si>
    <t>Laser</t>
  </si>
  <si>
    <t>6016</t>
  </si>
  <si>
    <t>LeBaron</t>
  </si>
  <si>
    <t>6017</t>
  </si>
  <si>
    <t>LeBaron GTS/GTC</t>
  </si>
  <si>
    <t>6018</t>
  </si>
  <si>
    <t>200</t>
  </si>
  <si>
    <t>6021</t>
  </si>
  <si>
    <t>SRT Viper</t>
  </si>
  <si>
    <t>6031</t>
  </si>
  <si>
    <t>TC (Maserati Sport)</t>
  </si>
  <si>
    <t>6035</t>
  </si>
  <si>
    <t>Conquest</t>
  </si>
  <si>
    <t>6041</t>
  </si>
  <si>
    <t>Concorde</t>
  </si>
  <si>
    <t>6042</t>
  </si>
  <si>
    <t>LHS</t>
  </si>
  <si>
    <t>6043</t>
  </si>
  <si>
    <t>Sebring</t>
  </si>
  <si>
    <t>6044</t>
  </si>
  <si>
    <t>Cirrus</t>
  </si>
  <si>
    <t>6050</t>
  </si>
  <si>
    <t>Executive</t>
  </si>
  <si>
    <t>6051</t>
  </si>
  <si>
    <t>300M/300/300C/300S</t>
  </si>
  <si>
    <t>6052</t>
  </si>
  <si>
    <t>PT Cruiser</t>
  </si>
  <si>
    <t>6053</t>
  </si>
  <si>
    <t xml:space="preserve">Prowler (2002)  </t>
  </si>
  <si>
    <t>6054</t>
  </si>
  <si>
    <t>Pacifica</t>
  </si>
  <si>
    <t>6055</t>
  </si>
  <si>
    <t>Crossfire</t>
  </si>
  <si>
    <t>6398</t>
  </si>
  <si>
    <t xml:space="preserve">Other (automobile) </t>
  </si>
  <si>
    <t>6399</t>
  </si>
  <si>
    <t xml:space="preserve">Unknown (automobile) </t>
  </si>
  <si>
    <t>6421</t>
  </si>
  <si>
    <t>Aspen</t>
  </si>
  <si>
    <t>6441</t>
  </si>
  <si>
    <t xml:space="preserve">Town and Country </t>
  </si>
  <si>
    <t>6442</t>
  </si>
  <si>
    <t>Voyager (2000 on)</t>
  </si>
  <si>
    <t>6499</t>
  </si>
  <si>
    <t>6999</t>
  </si>
  <si>
    <t xml:space="preserve">Unknown (CHRYSLER) </t>
  </si>
  <si>
    <t>7001</t>
  </si>
  <si>
    <t>Dart (1960-1976)</t>
  </si>
  <si>
    <t>7002</t>
  </si>
  <si>
    <t>Coronet/Magnum/Charger (thru 1978)</t>
  </si>
  <si>
    <t>7003</t>
  </si>
  <si>
    <t>Polara/Monaco/Royal Monaco</t>
  </si>
  <si>
    <t>7004</t>
  </si>
  <si>
    <t>Viper</t>
  </si>
  <si>
    <t>7005</t>
  </si>
  <si>
    <t>Challenger (1970-1974)</t>
  </si>
  <si>
    <t>7006</t>
  </si>
  <si>
    <t>7007</t>
  </si>
  <si>
    <t>Diplomat</t>
  </si>
  <si>
    <t>7008</t>
  </si>
  <si>
    <t>Omni/Charger (1983-1987)</t>
  </si>
  <si>
    <t>7009</t>
  </si>
  <si>
    <t>Mirada</t>
  </si>
  <si>
    <t>7010</t>
  </si>
  <si>
    <t>St Regis</t>
  </si>
  <si>
    <t>7011</t>
  </si>
  <si>
    <t>Aries (K)</t>
  </si>
  <si>
    <t>7012</t>
  </si>
  <si>
    <t>400</t>
  </si>
  <si>
    <t>7013</t>
  </si>
  <si>
    <t>Rampage (car-based pickup)</t>
  </si>
  <si>
    <t>7014</t>
  </si>
  <si>
    <t>600</t>
  </si>
  <si>
    <t>7015</t>
  </si>
  <si>
    <t>Daytona</t>
  </si>
  <si>
    <t>7016</t>
  </si>
  <si>
    <t>Lancer</t>
  </si>
  <si>
    <t>7017</t>
  </si>
  <si>
    <t>Shadow</t>
  </si>
  <si>
    <t>7018</t>
  </si>
  <si>
    <t>Dynasty</t>
  </si>
  <si>
    <t>7019</t>
  </si>
  <si>
    <t>Spirit</t>
  </si>
  <si>
    <t>7020</t>
  </si>
  <si>
    <t>Neon</t>
  </si>
  <si>
    <t>7021</t>
  </si>
  <si>
    <t>Magnum</t>
  </si>
  <si>
    <t>7024</t>
  </si>
  <si>
    <t>Charger (2006 on)</t>
  </si>
  <si>
    <t>7025</t>
  </si>
  <si>
    <t>Caliber</t>
  </si>
  <si>
    <t>7026</t>
  </si>
  <si>
    <t>Avenger (2008 on)</t>
  </si>
  <si>
    <t>7027</t>
  </si>
  <si>
    <t>Journey</t>
  </si>
  <si>
    <t>7028</t>
  </si>
  <si>
    <t>Challenger (2008 on)</t>
  </si>
  <si>
    <t>7029</t>
  </si>
  <si>
    <t>Dart (2013 on)</t>
  </si>
  <si>
    <t>7033</t>
  </si>
  <si>
    <t>Challenger</t>
  </si>
  <si>
    <t>7034</t>
  </si>
  <si>
    <t>Colt (includes 2WD Vista)</t>
  </si>
  <si>
    <t>7035</t>
  </si>
  <si>
    <t>7039</t>
  </si>
  <si>
    <t>Stealth</t>
  </si>
  <si>
    <t>7040</t>
  </si>
  <si>
    <t>Monaco</t>
  </si>
  <si>
    <t>7041</t>
  </si>
  <si>
    <t>Intrepid</t>
  </si>
  <si>
    <t>7042</t>
  </si>
  <si>
    <t>Avenger (1995-2000)</t>
  </si>
  <si>
    <t>7043</t>
  </si>
  <si>
    <t>Stratus</t>
  </si>
  <si>
    <t>7398</t>
  </si>
  <si>
    <t>7399</t>
  </si>
  <si>
    <t>7401</t>
  </si>
  <si>
    <t>RaiderSport</t>
  </si>
  <si>
    <t>7402</t>
  </si>
  <si>
    <t>Durango (1998-2003)</t>
  </si>
  <si>
    <t>7403</t>
  </si>
  <si>
    <t>Nitro</t>
  </si>
  <si>
    <t>7421</t>
  </si>
  <si>
    <t>Ramcharger</t>
  </si>
  <si>
    <t>7422</t>
  </si>
  <si>
    <t>Durango (2004 on)</t>
  </si>
  <si>
    <t>7441</t>
  </si>
  <si>
    <t>Vista Van</t>
  </si>
  <si>
    <t>7442</t>
  </si>
  <si>
    <t>Caravan/Grand Caravan</t>
  </si>
  <si>
    <t>7443</t>
  </si>
  <si>
    <t>Ram C/V</t>
  </si>
  <si>
    <t>7444</t>
  </si>
  <si>
    <t>Promaster City</t>
  </si>
  <si>
    <t>7461</t>
  </si>
  <si>
    <t>B-Series Van/fRam Van/Ram Wagon</t>
  </si>
  <si>
    <t>7462</t>
  </si>
  <si>
    <t>Sprinter</t>
  </si>
  <si>
    <t>7463</t>
  </si>
  <si>
    <t>Ram Promaster</t>
  </si>
  <si>
    <t>7470</t>
  </si>
  <si>
    <t>Van Derivative</t>
  </si>
  <si>
    <t>7471</t>
  </si>
  <si>
    <t>D50, Colt pickup, Ram 50/Ram 100</t>
  </si>
  <si>
    <t>7472</t>
  </si>
  <si>
    <t>Dakota</t>
  </si>
  <si>
    <t>7481</t>
  </si>
  <si>
    <t>D, W-Series pickup</t>
  </si>
  <si>
    <t>7482</t>
  </si>
  <si>
    <t>Ram Pickup</t>
  </si>
  <si>
    <t>7498</t>
  </si>
  <si>
    <t>7499</t>
  </si>
  <si>
    <t>7850</t>
  </si>
  <si>
    <t>Motor Home</t>
  </si>
  <si>
    <t>7870</t>
  </si>
  <si>
    <t>Medium/Heavy Van-Based Vehicle</t>
  </si>
  <si>
    <t>7880</t>
  </si>
  <si>
    <t>Medium/Heavy Pickup (pickup-style only â€“ over 10,000 lbs)</t>
  </si>
  <si>
    <t>7881</t>
  </si>
  <si>
    <t>Medium/Heavy â€“ CBE</t>
  </si>
  <si>
    <t>7882</t>
  </si>
  <si>
    <t>Medium/Heavy â€“ COE low entry</t>
  </si>
  <si>
    <t>7883</t>
  </si>
  <si>
    <t>Medium/Heavy â€“ COE high entry</t>
  </si>
  <si>
    <t>7884</t>
  </si>
  <si>
    <t>Medium/Heavy Â­ Unknown engine Location</t>
  </si>
  <si>
    <t>7890</t>
  </si>
  <si>
    <t>Medium/Heavy Â­ COE entry position unknown</t>
  </si>
  <si>
    <t>7898</t>
  </si>
  <si>
    <t>7981</t>
  </si>
  <si>
    <t>Bus: Conventional (Engine out front)</t>
  </si>
  <si>
    <t>7988</t>
  </si>
  <si>
    <t>7989</t>
  </si>
  <si>
    <t xml:space="preserve">Unknown (bus) </t>
  </si>
  <si>
    <t>7998</t>
  </si>
  <si>
    <t xml:space="preserve">Other (vehicle) </t>
  </si>
  <si>
    <t>7999</t>
  </si>
  <si>
    <t xml:space="preserve">Unknown (DODGE) </t>
  </si>
  <si>
    <t>8010</t>
  </si>
  <si>
    <t>8398</t>
  </si>
  <si>
    <t>8399</t>
  </si>
  <si>
    <t>9001</t>
  </si>
  <si>
    <t>Valiant/Scamp/Duster (thru 1976)</t>
  </si>
  <si>
    <t>9002</t>
  </si>
  <si>
    <t>Satellite/Belvedere</t>
  </si>
  <si>
    <t>9003</t>
  </si>
  <si>
    <t>Fury (Fury Gran thru 1978)</t>
  </si>
  <si>
    <t>9004</t>
  </si>
  <si>
    <t>Gran Fury (1980 on)</t>
  </si>
  <si>
    <t>9005</t>
  </si>
  <si>
    <t>Barracuda</t>
  </si>
  <si>
    <t>9006</t>
  </si>
  <si>
    <t>Volare'</t>
  </si>
  <si>
    <t>9007</t>
  </si>
  <si>
    <t>Caravelle</t>
  </si>
  <si>
    <t>9008</t>
  </si>
  <si>
    <t>Horizon/Turismo</t>
  </si>
  <si>
    <t>9011</t>
  </si>
  <si>
    <t>Reliant (K)</t>
  </si>
  <si>
    <t>9013</t>
  </si>
  <si>
    <t>Scamp-(car-based p/u)</t>
  </si>
  <si>
    <t>9017</t>
  </si>
  <si>
    <t>Sundance</t>
  </si>
  <si>
    <t>9019</t>
  </si>
  <si>
    <t xml:space="preserve">Acclaim </t>
  </si>
  <si>
    <t>9020</t>
  </si>
  <si>
    <t>9031</t>
  </si>
  <si>
    <t>Cricket</t>
  </si>
  <si>
    <t>9032</t>
  </si>
  <si>
    <t>Arrow</t>
  </si>
  <si>
    <t>9033</t>
  </si>
  <si>
    <t>Sapporo</t>
  </si>
  <si>
    <t>9034</t>
  </si>
  <si>
    <t>Champ/Colt import (includes 2WD Vista)</t>
  </si>
  <si>
    <t>9035</t>
  </si>
  <si>
    <t>9037</t>
  </si>
  <si>
    <t>9038</t>
  </si>
  <si>
    <t>Breeze</t>
  </si>
  <si>
    <t>9039</t>
  </si>
  <si>
    <t>Prowler (1997, 1999-2001)</t>
  </si>
  <si>
    <t>9398</t>
  </si>
  <si>
    <t>9399</t>
  </si>
  <si>
    <t>9421</t>
  </si>
  <si>
    <t>Trailduster</t>
  </si>
  <si>
    <t>9441</t>
  </si>
  <si>
    <t>9442</t>
  </si>
  <si>
    <t>Voyager (minivan)</t>
  </si>
  <si>
    <t>9461</t>
  </si>
  <si>
    <t>Van-fullsize (B-series)</t>
  </si>
  <si>
    <t>9471</t>
  </si>
  <si>
    <t>Arrow pickup (foreign)</t>
  </si>
  <si>
    <t>9498</t>
  </si>
  <si>
    <t>9499</t>
  </si>
  <si>
    <t>9998</t>
  </si>
  <si>
    <t>9999</t>
  </si>
  <si>
    <t xml:space="preserve">Unknown (PLYMOUTH) </t>
  </si>
  <si>
    <t>10034</t>
  </si>
  <si>
    <t>Summit (excludes wagon)</t>
  </si>
  <si>
    <t>10037</t>
  </si>
  <si>
    <t>Talon</t>
  </si>
  <si>
    <t>10040</t>
  </si>
  <si>
    <t>Premier</t>
  </si>
  <si>
    <t>10041</t>
  </si>
  <si>
    <t>Vision</t>
  </si>
  <si>
    <t>10044</t>
  </si>
  <si>
    <t>Medallion</t>
  </si>
  <si>
    <t>10045</t>
  </si>
  <si>
    <t>Summit Wagon</t>
  </si>
  <si>
    <t>10398</t>
  </si>
  <si>
    <t>10399</t>
  </si>
  <si>
    <t>12001</t>
  </si>
  <si>
    <t>Falcon</t>
  </si>
  <si>
    <t>12002</t>
  </si>
  <si>
    <t>Fairlane</t>
  </si>
  <si>
    <t>12003</t>
  </si>
  <si>
    <t>Mustang/Mustang II</t>
  </si>
  <si>
    <t>12004</t>
  </si>
  <si>
    <t>Thunderbird (all sizes)</t>
  </si>
  <si>
    <t>12005</t>
  </si>
  <si>
    <t>LTD II</t>
  </si>
  <si>
    <t>12006</t>
  </si>
  <si>
    <t>LTD/Custom/Galaxy (all sizes)</t>
  </si>
  <si>
    <t>12007</t>
  </si>
  <si>
    <t>Ranchero</t>
  </si>
  <si>
    <t>12008</t>
  </si>
  <si>
    <t>Maverick</t>
  </si>
  <si>
    <t>12009</t>
  </si>
  <si>
    <t>Pinto</t>
  </si>
  <si>
    <t>12010</t>
  </si>
  <si>
    <t>Torino/Gran Torino/Elite</t>
  </si>
  <si>
    <t>12011</t>
  </si>
  <si>
    <t>Granada</t>
  </si>
  <si>
    <t>12012</t>
  </si>
  <si>
    <t>Fairmont</t>
  </si>
  <si>
    <t>12013</t>
  </si>
  <si>
    <t>Escort/EXP/ZX2</t>
  </si>
  <si>
    <t>12015</t>
  </si>
  <si>
    <t>Tempo</t>
  </si>
  <si>
    <t>12016</t>
  </si>
  <si>
    <t>Crown Victoria</t>
  </si>
  <si>
    <t>12017</t>
  </si>
  <si>
    <t>Taurus/Taurus X</t>
  </si>
  <si>
    <t>12018</t>
  </si>
  <si>
    <t>Probe</t>
  </si>
  <si>
    <t>12021</t>
  </si>
  <si>
    <t>Five Hundred</t>
  </si>
  <si>
    <t>12022</t>
  </si>
  <si>
    <t>Freestyle</t>
  </si>
  <si>
    <t>12023</t>
  </si>
  <si>
    <t>Fusion</t>
  </si>
  <si>
    <t>12024</t>
  </si>
  <si>
    <t>Edge</t>
  </si>
  <si>
    <t>12025</t>
  </si>
  <si>
    <t>Flex</t>
  </si>
  <si>
    <t>12026</t>
  </si>
  <si>
    <t>12027</t>
  </si>
  <si>
    <t>C-Max</t>
  </si>
  <si>
    <t>12031</t>
  </si>
  <si>
    <t>English Ford</t>
  </si>
  <si>
    <t>12032</t>
  </si>
  <si>
    <t>Fiesta</t>
  </si>
  <si>
    <t>12033</t>
  </si>
  <si>
    <t>Festiva</t>
  </si>
  <si>
    <t>12034</t>
  </si>
  <si>
    <t>12035</t>
  </si>
  <si>
    <t>Contour</t>
  </si>
  <si>
    <t>12036</t>
  </si>
  <si>
    <t>Aspire</t>
  </si>
  <si>
    <t>12037</t>
  </si>
  <si>
    <t>Focus</t>
  </si>
  <si>
    <t>12038</t>
  </si>
  <si>
    <t>GT</t>
  </si>
  <si>
    <t>12398</t>
  </si>
  <si>
    <t>Other (automobile)  Deluxe, Ford Six, Mainline,</t>
  </si>
  <si>
    <t>12399</t>
  </si>
  <si>
    <t>12401</t>
  </si>
  <si>
    <t>Bronco (thru 1977)/Bronco II/Explorer/Explorer Sport</t>
  </si>
  <si>
    <t>12402</t>
  </si>
  <si>
    <t>Escape</t>
  </si>
  <si>
    <t>12421</t>
  </si>
  <si>
    <t>Bronco-full-size (1978 on)</t>
  </si>
  <si>
    <t>12422</t>
  </si>
  <si>
    <t>Expedition</t>
  </si>
  <si>
    <t>12423</t>
  </si>
  <si>
    <t>Excursion</t>
  </si>
  <si>
    <t>12441</t>
  </si>
  <si>
    <t>Aerostar</t>
  </si>
  <si>
    <t>12442</t>
  </si>
  <si>
    <t>Windstar</t>
  </si>
  <si>
    <t>12443</t>
  </si>
  <si>
    <t>Freestar</t>
  </si>
  <si>
    <t>12444</t>
  </si>
  <si>
    <t>Transit Connect</t>
  </si>
  <si>
    <t>12461</t>
  </si>
  <si>
    <t>E-Series Van/Econoline</t>
  </si>
  <si>
    <t>12462</t>
  </si>
  <si>
    <t>Transit</t>
  </si>
  <si>
    <t>12470</t>
  </si>
  <si>
    <t>12471</t>
  </si>
  <si>
    <t>Ranger</t>
  </si>
  <si>
    <t>12473</t>
  </si>
  <si>
    <t>Explorer Sport Trac</t>
  </si>
  <si>
    <t>12481</t>
  </si>
  <si>
    <t>F-Series pickup</t>
  </si>
  <si>
    <t>12498</t>
  </si>
  <si>
    <t>12499</t>
  </si>
  <si>
    <t>12850</t>
  </si>
  <si>
    <t>12870</t>
  </si>
  <si>
    <t>12880</t>
  </si>
  <si>
    <t>Medium/Heavy Pickup (pickup-style only â€“ over 10,000 lbs.)</t>
  </si>
  <si>
    <t>12881</t>
  </si>
  <si>
    <t>12882</t>
  </si>
  <si>
    <t>12883</t>
  </si>
  <si>
    <t>12884</t>
  </si>
  <si>
    <t>Medium/Heavy Â­ Unknown engine location</t>
  </si>
  <si>
    <t>12890</t>
  </si>
  <si>
    <t>12898</t>
  </si>
  <si>
    <t>12981</t>
  </si>
  <si>
    <t>12988</t>
  </si>
  <si>
    <t xml:space="preserve">Other (bus) </t>
  </si>
  <si>
    <t>12989</t>
  </si>
  <si>
    <t>12998</t>
  </si>
  <si>
    <t>12999</t>
  </si>
  <si>
    <t xml:space="preserve">Unknown (FORD) </t>
  </si>
  <si>
    <t>13001</t>
  </si>
  <si>
    <t>Continental (thru 1981)/ Town Car</t>
  </si>
  <si>
    <t>13002</t>
  </si>
  <si>
    <t>Mark</t>
  </si>
  <si>
    <t>13005</t>
  </si>
  <si>
    <t>Continental (1982 on)</t>
  </si>
  <si>
    <t>13011</t>
  </si>
  <si>
    <t>Versailles</t>
  </si>
  <si>
    <t>13012</t>
  </si>
  <si>
    <t>LS</t>
  </si>
  <si>
    <t>13013</t>
  </si>
  <si>
    <t>Zephyr/MKZ</t>
  </si>
  <si>
    <t>13014</t>
  </si>
  <si>
    <t>MKX</t>
  </si>
  <si>
    <t>13015</t>
  </si>
  <si>
    <t>MKS</t>
  </si>
  <si>
    <t>13016</t>
  </si>
  <si>
    <t>MKT</t>
  </si>
  <si>
    <t>13398</t>
  </si>
  <si>
    <t>13399</t>
  </si>
  <si>
    <t>13401</t>
  </si>
  <si>
    <t>Aviator</t>
  </si>
  <si>
    <t>13402</t>
  </si>
  <si>
    <t>MKC</t>
  </si>
  <si>
    <t>13421</t>
  </si>
  <si>
    <t>Navigator</t>
  </si>
  <si>
    <t>13481</t>
  </si>
  <si>
    <t>Blackwood</t>
  </si>
  <si>
    <t>13482</t>
  </si>
  <si>
    <t>Mark LT</t>
  </si>
  <si>
    <t>13498</t>
  </si>
  <si>
    <t>13499</t>
  </si>
  <si>
    <t>13999</t>
  </si>
  <si>
    <t xml:space="preserve">Unknown (LINCOLN) </t>
  </si>
  <si>
    <t>14002</t>
  </si>
  <si>
    <t>Cyclone</t>
  </si>
  <si>
    <t>14003</t>
  </si>
  <si>
    <t>Capri-domestic</t>
  </si>
  <si>
    <t>14004</t>
  </si>
  <si>
    <t>Cougar (1967-1997) /XR7 (1967-1997)</t>
  </si>
  <si>
    <t>14006</t>
  </si>
  <si>
    <t>Marquis/Monterey (car version) /Grand Marquis</t>
  </si>
  <si>
    <t>14008</t>
  </si>
  <si>
    <t>Comet</t>
  </si>
  <si>
    <t>14009</t>
  </si>
  <si>
    <t>Bobcat</t>
  </si>
  <si>
    <t>Montego (thru 1976)</t>
  </si>
  <si>
    <t>14011</t>
  </si>
  <si>
    <t>Monarch</t>
  </si>
  <si>
    <t>14012</t>
  </si>
  <si>
    <t>Zephyr</t>
  </si>
  <si>
    <t>14013</t>
  </si>
  <si>
    <t>Lynx/LN7</t>
  </si>
  <si>
    <t>14015</t>
  </si>
  <si>
    <t>Topaz</t>
  </si>
  <si>
    <t>14017</t>
  </si>
  <si>
    <t>Sable</t>
  </si>
  <si>
    <t>Montego (2005 on)</t>
  </si>
  <si>
    <t>14021</t>
  </si>
  <si>
    <t>Milan</t>
  </si>
  <si>
    <t>14031</t>
  </si>
  <si>
    <t>Capri-foreign</t>
  </si>
  <si>
    <t>14033</t>
  </si>
  <si>
    <t>Pantera-foreign</t>
  </si>
  <si>
    <t>14036</t>
  </si>
  <si>
    <t>Tracer</t>
  </si>
  <si>
    <t>14037</t>
  </si>
  <si>
    <t>Mystique</t>
  </si>
  <si>
    <t>14038</t>
  </si>
  <si>
    <t>Cougar (1999-2002)</t>
  </si>
  <si>
    <t>14039</t>
  </si>
  <si>
    <t>Marauder</t>
  </si>
  <si>
    <t>14398</t>
  </si>
  <si>
    <t>14399</t>
  </si>
  <si>
    <t>14401</t>
  </si>
  <si>
    <t>Mountaineer</t>
  </si>
  <si>
    <t>14402</t>
  </si>
  <si>
    <t>Mariner</t>
  </si>
  <si>
    <t>14443</t>
  </si>
  <si>
    <t>Villager</t>
  </si>
  <si>
    <t>14444</t>
  </si>
  <si>
    <t>Monterey (van version)</t>
  </si>
  <si>
    <t>14498</t>
  </si>
  <si>
    <t>14499</t>
  </si>
  <si>
    <t>14999</t>
  </si>
  <si>
    <t xml:space="preserve">Unknown (MERCURY) </t>
  </si>
  <si>
    <t>18001</t>
  </si>
  <si>
    <t>Special/Skylark</t>
  </si>
  <si>
    <t>18002</t>
  </si>
  <si>
    <t>LeSabre/Centurion/Wildcat</t>
  </si>
  <si>
    <t>18003</t>
  </si>
  <si>
    <t>Electra/Electra 225/Park Avenue (1991 on)</t>
  </si>
  <si>
    <t>18004</t>
  </si>
  <si>
    <t>Roadmaster</t>
  </si>
  <si>
    <t>18005</t>
  </si>
  <si>
    <t>Riviera</t>
  </si>
  <si>
    <t>18007</t>
  </si>
  <si>
    <t>Century</t>
  </si>
  <si>
    <t>18008</t>
  </si>
  <si>
    <t>Apollo/Skylark</t>
  </si>
  <si>
    <t>18010</t>
  </si>
  <si>
    <t>Regal (RWD only)</t>
  </si>
  <si>
    <t>18012</t>
  </si>
  <si>
    <t>Skyhawk</t>
  </si>
  <si>
    <t>18015</t>
  </si>
  <si>
    <t>Skylark (1976-1985)</t>
  </si>
  <si>
    <t>18018</t>
  </si>
  <si>
    <t>Somerset/Skylark</t>
  </si>
  <si>
    <t>18019</t>
  </si>
  <si>
    <t>Regal (2011 on)</t>
  </si>
  <si>
    <t>Regal (FWD)</t>
  </si>
  <si>
    <t>18021</t>
  </si>
  <si>
    <t>Reatta</t>
  </si>
  <si>
    <t>18022</t>
  </si>
  <si>
    <t>LaCrosse</t>
  </si>
  <si>
    <t>18023</t>
  </si>
  <si>
    <t>Lucerne</t>
  </si>
  <si>
    <t>18024</t>
  </si>
  <si>
    <t>Enclave (2008-2012)</t>
  </si>
  <si>
    <t>18025</t>
  </si>
  <si>
    <t>Verano</t>
  </si>
  <si>
    <t>18031</t>
  </si>
  <si>
    <t>Opel Kadett</t>
  </si>
  <si>
    <t>18032</t>
  </si>
  <si>
    <t>Opel Manta</t>
  </si>
  <si>
    <t>18033</t>
  </si>
  <si>
    <t>Opel GT</t>
  </si>
  <si>
    <t>18034</t>
  </si>
  <si>
    <t>Opel Isuzu</t>
  </si>
  <si>
    <t>18398</t>
  </si>
  <si>
    <t>18399</t>
  </si>
  <si>
    <t>18401</t>
  </si>
  <si>
    <t>Rendezvous</t>
  </si>
  <si>
    <t>18402</t>
  </si>
  <si>
    <t>Rainier</t>
  </si>
  <si>
    <t>18404</t>
  </si>
  <si>
    <t>Encore</t>
  </si>
  <si>
    <t>18421</t>
  </si>
  <si>
    <t>Enclave (2013 on)</t>
  </si>
  <si>
    <t>18441</t>
  </si>
  <si>
    <t>Terraza</t>
  </si>
  <si>
    <t>18498</t>
  </si>
  <si>
    <t>18499</t>
  </si>
  <si>
    <t>18999</t>
  </si>
  <si>
    <t xml:space="preserve">Unknown (BUICK) </t>
  </si>
  <si>
    <t>19003</t>
  </si>
  <si>
    <t>Deville/Fleetwood (except Limousine)</t>
  </si>
  <si>
    <t>19004</t>
  </si>
  <si>
    <t>Limousine</t>
  </si>
  <si>
    <t>19005</t>
  </si>
  <si>
    <t>Eldorado</t>
  </si>
  <si>
    <t>19006</t>
  </si>
  <si>
    <t>Commercial Series</t>
  </si>
  <si>
    <t>19009</t>
  </si>
  <si>
    <t>Allante'</t>
  </si>
  <si>
    <t>19014</t>
  </si>
  <si>
    <t>Seville</t>
  </si>
  <si>
    <t>19016</t>
  </si>
  <si>
    <t>Cimarron</t>
  </si>
  <si>
    <t>19017</t>
  </si>
  <si>
    <t>Catera</t>
  </si>
  <si>
    <t>19018</t>
  </si>
  <si>
    <t>CTS/CTC</t>
  </si>
  <si>
    <t>19019</t>
  </si>
  <si>
    <t>XLR</t>
  </si>
  <si>
    <t>19020</t>
  </si>
  <si>
    <t>SRX</t>
  </si>
  <si>
    <t>19021</t>
  </si>
  <si>
    <t>STS</t>
  </si>
  <si>
    <t>19022</t>
  </si>
  <si>
    <t>DTS</t>
  </si>
  <si>
    <t>19023</t>
  </si>
  <si>
    <t>XTS</t>
  </si>
  <si>
    <t>19024</t>
  </si>
  <si>
    <t>ATS</t>
  </si>
  <si>
    <t>19025</t>
  </si>
  <si>
    <t>ELR</t>
  </si>
  <si>
    <t>19398</t>
  </si>
  <si>
    <t>19399</t>
  </si>
  <si>
    <t>19421</t>
  </si>
  <si>
    <t>Escalade/ESV (2004 on)</t>
  </si>
  <si>
    <t>19431</t>
  </si>
  <si>
    <t>Escalade ESV (2003)</t>
  </si>
  <si>
    <t>19480</t>
  </si>
  <si>
    <t>Escalade EXT (2002 -2006)</t>
  </si>
  <si>
    <t>19481</t>
  </si>
  <si>
    <t>Escalade EXT (2007)</t>
  </si>
  <si>
    <t>19498</t>
  </si>
  <si>
    <t>19499</t>
  </si>
  <si>
    <t>19999</t>
  </si>
  <si>
    <t xml:space="preserve">Unknown (CADILLAC) </t>
  </si>
  <si>
    <t>20001</t>
  </si>
  <si>
    <t>Chevelle/Malibu (thru 1983)</t>
  </si>
  <si>
    <t>20002</t>
  </si>
  <si>
    <t>Impala/Caprice (2014 on)</t>
  </si>
  <si>
    <t>20004</t>
  </si>
  <si>
    <t>Corvette</t>
  </si>
  <si>
    <t>20006</t>
  </si>
  <si>
    <t>Corvair</t>
  </si>
  <si>
    <t>20007</t>
  </si>
  <si>
    <t>El Camino</t>
  </si>
  <si>
    <t>20008</t>
  </si>
  <si>
    <t>Nova (thru 1979)</t>
  </si>
  <si>
    <t>20009</t>
  </si>
  <si>
    <t>Camaro</t>
  </si>
  <si>
    <t>20010</t>
  </si>
  <si>
    <t>Monte Carlo (thru 1988)</t>
  </si>
  <si>
    <t>20011</t>
  </si>
  <si>
    <t>Vega</t>
  </si>
  <si>
    <t>20012</t>
  </si>
  <si>
    <t>Monza</t>
  </si>
  <si>
    <t>20013</t>
  </si>
  <si>
    <t>Chevette</t>
  </si>
  <si>
    <t>20015</t>
  </si>
  <si>
    <t>Citation</t>
  </si>
  <si>
    <t>20016</t>
  </si>
  <si>
    <t>Cavalier</t>
  </si>
  <si>
    <t>20017</t>
  </si>
  <si>
    <t>Celebrity</t>
  </si>
  <si>
    <t>20019</t>
  </si>
  <si>
    <t>Beretta/Corsica</t>
  </si>
  <si>
    <t>Lumina</t>
  </si>
  <si>
    <t>20021</t>
  </si>
  <si>
    <t>SS (2014 on)</t>
  </si>
  <si>
    <t>20022</t>
  </si>
  <si>
    <t>Cobalt</t>
  </si>
  <si>
    <t>20023</t>
  </si>
  <si>
    <t>HHR</t>
  </si>
  <si>
    <t>20024</t>
  </si>
  <si>
    <t>Traverse (2009-2012)</t>
  </si>
  <si>
    <t>20025</t>
  </si>
  <si>
    <t>Cruze</t>
  </si>
  <si>
    <t>20026</t>
  </si>
  <si>
    <t>Volt</t>
  </si>
  <si>
    <t>20027</t>
  </si>
  <si>
    <t>Caprice PPV</t>
  </si>
  <si>
    <t>20028</t>
  </si>
  <si>
    <t>Sonic</t>
  </si>
  <si>
    <t>20029</t>
  </si>
  <si>
    <t>Spark</t>
  </si>
  <si>
    <t>20031</t>
  </si>
  <si>
    <t>Spectrum</t>
  </si>
  <si>
    <t>20032</t>
  </si>
  <si>
    <t>Nova/Geo Prism/Prism</t>
  </si>
  <si>
    <t>20033</t>
  </si>
  <si>
    <t>Sprint/Geo Sprint</t>
  </si>
  <si>
    <t>20034</t>
  </si>
  <si>
    <t>Geo Metro/Metro</t>
  </si>
  <si>
    <t>20035</t>
  </si>
  <si>
    <t>Geo Storm</t>
  </si>
  <si>
    <t>20036</t>
  </si>
  <si>
    <t>Monte Carlo (1995 on)</t>
  </si>
  <si>
    <t>20037</t>
  </si>
  <si>
    <t>Malibu/Malibu Maxx</t>
  </si>
  <si>
    <t>20038</t>
  </si>
  <si>
    <t>SSR</t>
  </si>
  <si>
    <t>20039</t>
  </si>
  <si>
    <t>Aveo/Aveo 5</t>
  </si>
  <si>
    <t>20398</t>
  </si>
  <si>
    <t>20399</t>
  </si>
  <si>
    <t>20401</t>
  </si>
  <si>
    <t>S-10 Blazer/TrailBlazer (2002 only)</t>
  </si>
  <si>
    <t>20402</t>
  </si>
  <si>
    <t>Geo Tracker/Tracker</t>
  </si>
  <si>
    <t>20403</t>
  </si>
  <si>
    <t>TrailBlazer (2003 on)</t>
  </si>
  <si>
    <t>20404</t>
  </si>
  <si>
    <t>Equinox</t>
  </si>
  <si>
    <t>20405</t>
  </si>
  <si>
    <t>Captiva</t>
  </si>
  <si>
    <t>20406</t>
  </si>
  <si>
    <t>Trax</t>
  </si>
  <si>
    <t>20421</t>
  </si>
  <si>
    <t>Fullsize Blazer/Tahoe</t>
  </si>
  <si>
    <t>20422</t>
  </si>
  <si>
    <t>Suburban (2004 on)</t>
  </si>
  <si>
    <t>20423</t>
  </si>
  <si>
    <t>Traverse (2013 on)</t>
  </si>
  <si>
    <t>20431</t>
  </si>
  <si>
    <t>Suburban (1950-2003)</t>
  </si>
  <si>
    <t>20441</t>
  </si>
  <si>
    <t>Astro Van</t>
  </si>
  <si>
    <t>20442</t>
  </si>
  <si>
    <t>Lumina APV</t>
  </si>
  <si>
    <t>20443</t>
  </si>
  <si>
    <t>Venture</t>
  </si>
  <si>
    <t>20444</t>
  </si>
  <si>
    <t>Uplander</t>
  </si>
  <si>
    <t>20445</t>
  </si>
  <si>
    <t>City Express</t>
  </si>
  <si>
    <t>20461</t>
  </si>
  <si>
    <t>G-series van</t>
  </si>
  <si>
    <t>20466</t>
  </si>
  <si>
    <t>P-series van</t>
  </si>
  <si>
    <t>20470</t>
  </si>
  <si>
    <t>Van derivative</t>
  </si>
  <si>
    <t>20471</t>
  </si>
  <si>
    <t>S-10/T-10 Pickup</t>
  </si>
  <si>
    <t>20472</t>
  </si>
  <si>
    <t>LUV</t>
  </si>
  <si>
    <t>20473</t>
  </si>
  <si>
    <t>20481</t>
  </si>
  <si>
    <t>C, K, R, V-Series pickup/Silverado</t>
  </si>
  <si>
    <t>20482</t>
  </si>
  <si>
    <t>Avalanche</t>
  </si>
  <si>
    <t>20498</t>
  </si>
  <si>
    <t>20499</t>
  </si>
  <si>
    <t>20850</t>
  </si>
  <si>
    <t>20870</t>
  </si>
  <si>
    <t>20880</t>
  </si>
  <si>
    <t>20881</t>
  </si>
  <si>
    <t>20882</t>
  </si>
  <si>
    <t>20883</t>
  </si>
  <si>
    <t>20884</t>
  </si>
  <si>
    <t>20890</t>
  </si>
  <si>
    <t>20898</t>
  </si>
  <si>
    <t>20981</t>
  </si>
  <si>
    <t>20988</t>
  </si>
  <si>
    <t>20989</t>
  </si>
  <si>
    <t>20998</t>
  </si>
  <si>
    <t>20999</t>
  </si>
  <si>
    <t xml:space="preserve">Unknown (CHEVROLET)  </t>
  </si>
  <si>
    <t>21001</t>
  </si>
  <si>
    <t>Cutlass (RWD-only)</t>
  </si>
  <si>
    <t>21002</t>
  </si>
  <si>
    <t>Delta 88/LSS</t>
  </si>
  <si>
    <t>21003</t>
  </si>
  <si>
    <t>Ninety-Eight/Regency</t>
  </si>
  <si>
    <t>21005</t>
  </si>
  <si>
    <t>Toronado</t>
  </si>
  <si>
    <t>21006</t>
  </si>
  <si>
    <t>21012</t>
  </si>
  <si>
    <t>Starfire</t>
  </si>
  <si>
    <t>21015</t>
  </si>
  <si>
    <t>Omega</t>
  </si>
  <si>
    <t>21016</t>
  </si>
  <si>
    <t>Firenza</t>
  </si>
  <si>
    <t>21017</t>
  </si>
  <si>
    <t>Ciera</t>
  </si>
  <si>
    <t>21018</t>
  </si>
  <si>
    <t>Calais</t>
  </si>
  <si>
    <t>Cutlass (FWD)</t>
  </si>
  <si>
    <t>21021</t>
  </si>
  <si>
    <t>Achieva/Alero</t>
  </si>
  <si>
    <t>21022</t>
  </si>
  <si>
    <t>Aurora</t>
  </si>
  <si>
    <t>21023</t>
  </si>
  <si>
    <t>Intrigue</t>
  </si>
  <si>
    <t>21398</t>
  </si>
  <si>
    <t>21399</t>
  </si>
  <si>
    <t>21401</t>
  </si>
  <si>
    <t>Bravada</t>
  </si>
  <si>
    <t>21441</t>
  </si>
  <si>
    <t>Silhouette</t>
  </si>
  <si>
    <t>21499</t>
  </si>
  <si>
    <t>21999</t>
  </si>
  <si>
    <t xml:space="preserve">Unknown (OLDSMOBILE) </t>
  </si>
  <si>
    <t>22001</t>
  </si>
  <si>
    <t>Lemans /Tempest (thru 1970)</t>
  </si>
  <si>
    <t>22002</t>
  </si>
  <si>
    <t>Bonneville/Catalina/ Parisienne</t>
  </si>
  <si>
    <t>22005</t>
  </si>
  <si>
    <t>Fiero</t>
  </si>
  <si>
    <t>22008</t>
  </si>
  <si>
    <t>Ventura/GTO</t>
  </si>
  <si>
    <t>22009</t>
  </si>
  <si>
    <t>Firebird/Trans AM</t>
  </si>
  <si>
    <t>22010</t>
  </si>
  <si>
    <t>Grand Prix (RWD)</t>
  </si>
  <si>
    <t>22011</t>
  </si>
  <si>
    <t>Astre</t>
  </si>
  <si>
    <t>22012</t>
  </si>
  <si>
    <t>Sunbird (thru 1980)</t>
  </si>
  <si>
    <t>22013</t>
  </si>
  <si>
    <t>T-1000/1000</t>
  </si>
  <si>
    <t>22015</t>
  </si>
  <si>
    <t>Phoenix</t>
  </si>
  <si>
    <t>22016</t>
  </si>
  <si>
    <t>Sunbird (1985-1994) /J-2000/Sunfire (1995 on)</t>
  </si>
  <si>
    <t>22017</t>
  </si>
  <si>
    <t>6000</t>
  </si>
  <si>
    <t>22018</t>
  </si>
  <si>
    <t>Grand AM</t>
  </si>
  <si>
    <t>22019</t>
  </si>
  <si>
    <t>G5</t>
  </si>
  <si>
    <t>Grand Prix (FWD)</t>
  </si>
  <si>
    <t>22022</t>
  </si>
  <si>
    <t>G6</t>
  </si>
  <si>
    <t>22023</t>
  </si>
  <si>
    <t>Solstice</t>
  </si>
  <si>
    <t>22024</t>
  </si>
  <si>
    <t>G8</t>
  </si>
  <si>
    <t>22025</t>
  </si>
  <si>
    <t>G3</t>
  </si>
  <si>
    <t>22031</t>
  </si>
  <si>
    <t>Lemans (1988 on)</t>
  </si>
  <si>
    <t>22032</t>
  </si>
  <si>
    <t>Vibe</t>
  </si>
  <si>
    <t>22398</t>
  </si>
  <si>
    <t>22399</t>
  </si>
  <si>
    <t>22401</t>
  </si>
  <si>
    <t>Aztek</t>
  </si>
  <si>
    <t>22403</t>
  </si>
  <si>
    <t>Torrent</t>
  </si>
  <si>
    <t>22441</t>
  </si>
  <si>
    <t>Trans Sport/ Montana/SV6</t>
  </si>
  <si>
    <t>22499</t>
  </si>
  <si>
    <t>22999</t>
  </si>
  <si>
    <t xml:space="preserve">Unknown (PONTIAC) </t>
  </si>
  <si>
    <t>23007</t>
  </si>
  <si>
    <t>Caballero</t>
  </si>
  <si>
    <t>23008</t>
  </si>
  <si>
    <t>Acadia (2007-2012)</t>
  </si>
  <si>
    <t>23399</t>
  </si>
  <si>
    <t>23401</t>
  </si>
  <si>
    <t>Jimmy/Typhoon/Envoy</t>
  </si>
  <si>
    <t>23402</t>
  </si>
  <si>
    <t>Terrain</t>
  </si>
  <si>
    <t>23421</t>
  </si>
  <si>
    <t>Full-size Jimmy/Yukon</t>
  </si>
  <si>
    <t>23422</t>
  </si>
  <si>
    <t>Suburban/Yukon XL (2004 on)</t>
  </si>
  <si>
    <t>23423</t>
  </si>
  <si>
    <t>Acadia (2013 on)</t>
  </si>
  <si>
    <t>23431</t>
  </si>
  <si>
    <t>Suburban/Yukon XL (1950-2003 only)</t>
  </si>
  <si>
    <t>23441</t>
  </si>
  <si>
    <t>Safari (Minivan)</t>
  </si>
  <si>
    <t>23461</t>
  </si>
  <si>
    <t>G-series van/Savana</t>
  </si>
  <si>
    <t>23466</t>
  </si>
  <si>
    <t>23470</t>
  </si>
  <si>
    <t>23471</t>
  </si>
  <si>
    <t>S15/T15/Sonoma</t>
  </si>
  <si>
    <t>23472</t>
  </si>
  <si>
    <t>Canyon</t>
  </si>
  <si>
    <t>23481</t>
  </si>
  <si>
    <t>C, K, R, V-series pickup/Sierra</t>
  </si>
  <si>
    <t>23498</t>
  </si>
  <si>
    <t>23499</t>
  </si>
  <si>
    <t>23850</t>
  </si>
  <si>
    <t>23870</t>
  </si>
  <si>
    <t>23880</t>
  </si>
  <si>
    <t>23881</t>
  </si>
  <si>
    <t>23882</t>
  </si>
  <si>
    <t>23883</t>
  </si>
  <si>
    <t>23884</t>
  </si>
  <si>
    <t>23890</t>
  </si>
  <si>
    <t>23898</t>
  </si>
  <si>
    <t>23981</t>
  </si>
  <si>
    <t>23988</t>
  </si>
  <si>
    <t>23989</t>
  </si>
  <si>
    <t>23998</t>
  </si>
  <si>
    <t>23999</t>
  </si>
  <si>
    <t xml:space="preserve">Unknown (GMC) </t>
  </si>
  <si>
    <t>24001</t>
  </si>
  <si>
    <t>SL</t>
  </si>
  <si>
    <t>24002</t>
  </si>
  <si>
    <t>SC</t>
  </si>
  <si>
    <t>24003</t>
  </si>
  <si>
    <t>SW</t>
  </si>
  <si>
    <t>24004</t>
  </si>
  <si>
    <t>EV1/EGV1</t>
  </si>
  <si>
    <t>24005</t>
  </si>
  <si>
    <t>24006</t>
  </si>
  <si>
    <t>LW</t>
  </si>
  <si>
    <t>24007</t>
  </si>
  <si>
    <t>Ion</t>
  </si>
  <si>
    <t>24008</t>
  </si>
  <si>
    <t>Sky</t>
  </si>
  <si>
    <t>24009</t>
  </si>
  <si>
    <t>Aura</t>
  </si>
  <si>
    <t>24010</t>
  </si>
  <si>
    <t>Outlook</t>
  </si>
  <si>
    <t>24011</t>
  </si>
  <si>
    <t>Astra</t>
  </si>
  <si>
    <t>24398</t>
  </si>
  <si>
    <t>24399</t>
  </si>
  <si>
    <t>24401</t>
  </si>
  <si>
    <t>Vue</t>
  </si>
  <si>
    <t>24441</t>
  </si>
  <si>
    <t>Relay</t>
  </si>
  <si>
    <t>24499</t>
  </si>
  <si>
    <t>Unknown (light truck)</t>
  </si>
  <si>
    <t>24999</t>
  </si>
  <si>
    <t xml:space="preserve">Unknown (SATURN) </t>
  </si>
  <si>
    <t>25401</t>
  </si>
  <si>
    <t>LLV</t>
  </si>
  <si>
    <t>25441</t>
  </si>
  <si>
    <t>Step-in van</t>
  </si>
  <si>
    <t>25498</t>
  </si>
  <si>
    <t>25499</t>
  </si>
  <si>
    <t>25881</t>
  </si>
  <si>
    <t>25882</t>
  </si>
  <si>
    <t>Medium/Heavy - COE low entry</t>
  </si>
  <si>
    <t>25883</t>
  </si>
  <si>
    <t>Medium/Heavy - COE high entry</t>
  </si>
  <si>
    <t>25884</t>
  </si>
  <si>
    <t>Medium/Heavy - engine location unknown</t>
  </si>
  <si>
    <t>25890</t>
  </si>
  <si>
    <t>Medium/Heavy - entry position unknown</t>
  </si>
  <si>
    <t>25898</t>
  </si>
  <si>
    <t>25983</t>
  </si>
  <si>
    <t>Bus: Flat front, rear engine</t>
  </si>
  <si>
    <t>25988</t>
  </si>
  <si>
    <t>25989</t>
  </si>
  <si>
    <t>25999</t>
  </si>
  <si>
    <t>Unknown (GRUMMAN/GRUMMAN-OLSON)</t>
  </si>
  <si>
    <t>26001</t>
  </si>
  <si>
    <t>26398</t>
  </si>
  <si>
    <t>26399</t>
  </si>
  <si>
    <t>29001</t>
  </si>
  <si>
    <t>Studabaker/Avanti</t>
  </si>
  <si>
    <t>29002</t>
  </si>
  <si>
    <t>Checker</t>
  </si>
  <si>
    <t>29003</t>
  </si>
  <si>
    <t>Panoz</t>
  </si>
  <si>
    <t>29004</t>
  </si>
  <si>
    <t>Saleen</t>
  </si>
  <si>
    <t>29005</t>
  </si>
  <si>
    <t>Tesla</t>
  </si>
  <si>
    <t>29398</t>
  </si>
  <si>
    <t>29399</t>
  </si>
  <si>
    <t xml:space="preserve">Unknown Make </t>
  </si>
  <si>
    <t>30031</t>
  </si>
  <si>
    <t>Karmann Ghia</t>
  </si>
  <si>
    <t>30032</t>
  </si>
  <si>
    <t>Beetle 1300/1500</t>
  </si>
  <si>
    <t>30033</t>
  </si>
  <si>
    <t>Super Beetle</t>
  </si>
  <si>
    <t>30034</t>
  </si>
  <si>
    <t>411/412</t>
  </si>
  <si>
    <t>30035</t>
  </si>
  <si>
    <t>Squareback/Fastback</t>
  </si>
  <si>
    <t>30036</t>
  </si>
  <si>
    <t>Rabbit</t>
  </si>
  <si>
    <t>30037</t>
  </si>
  <si>
    <t>Dasher</t>
  </si>
  <si>
    <t>30038</t>
  </si>
  <si>
    <t>Scirocco</t>
  </si>
  <si>
    <t>30040</t>
  </si>
  <si>
    <t>Jetta/Jetta SportsWagen</t>
  </si>
  <si>
    <t>30041</t>
  </si>
  <si>
    <t>Quantum</t>
  </si>
  <si>
    <t>30042</t>
  </si>
  <si>
    <t>Golf/Cabriolet/Cabrio/GTI/GLI</t>
  </si>
  <si>
    <t>30043</t>
  </si>
  <si>
    <t>Rabbit Pickup</t>
  </si>
  <si>
    <t>30044</t>
  </si>
  <si>
    <t>Fox</t>
  </si>
  <si>
    <t>30045</t>
  </si>
  <si>
    <t>Corrado</t>
  </si>
  <si>
    <t>30046</t>
  </si>
  <si>
    <t>Passat (CC 2008-2011)</t>
  </si>
  <si>
    <t>30047</t>
  </si>
  <si>
    <t>New Beetle</t>
  </si>
  <si>
    <t>30048</t>
  </si>
  <si>
    <t>Phaeton</t>
  </si>
  <si>
    <t>30051</t>
  </si>
  <si>
    <t>Eos</t>
  </si>
  <si>
    <t>30052</t>
  </si>
  <si>
    <t>CC (2012 on)</t>
  </si>
  <si>
    <t>30398</t>
  </si>
  <si>
    <t>30399</t>
  </si>
  <si>
    <t>30401</t>
  </si>
  <si>
    <t>The Thing (181)</t>
  </si>
  <si>
    <t>30402</t>
  </si>
  <si>
    <t>Tiguan</t>
  </si>
  <si>
    <t>30421</t>
  </si>
  <si>
    <t>Touareg/Touareg 2</t>
  </si>
  <si>
    <t>30441</t>
  </si>
  <si>
    <t>Vanagon/Camper</t>
  </si>
  <si>
    <t>30442</t>
  </si>
  <si>
    <t>Eurovan</t>
  </si>
  <si>
    <t>30443</t>
  </si>
  <si>
    <t>Routan</t>
  </si>
  <si>
    <t>30498</t>
  </si>
  <si>
    <t>30499</t>
  </si>
  <si>
    <t>30998</t>
  </si>
  <si>
    <t>30999</t>
  </si>
  <si>
    <t>Unknown (VOLKSWAGEN)</t>
  </si>
  <si>
    <t>31031</t>
  </si>
  <si>
    <t>Spider (Spyder)</t>
  </si>
  <si>
    <t>31032</t>
  </si>
  <si>
    <t>Sports Sedan</t>
  </si>
  <si>
    <t>31033</t>
  </si>
  <si>
    <t>Sprint/Special</t>
  </si>
  <si>
    <t>31034</t>
  </si>
  <si>
    <t>GTV-6</t>
  </si>
  <si>
    <t>31035</t>
  </si>
  <si>
    <t>164 (Alpha 164)</t>
  </si>
  <si>
    <t>31036</t>
  </si>
  <si>
    <t>4c</t>
  </si>
  <si>
    <t>31037</t>
  </si>
  <si>
    <t>Giulia</t>
  </si>
  <si>
    <t>31398</t>
  </si>
  <si>
    <t>31399</t>
  </si>
  <si>
    <t>32031</t>
  </si>
  <si>
    <t>Super 90</t>
  </si>
  <si>
    <t>32032</t>
  </si>
  <si>
    <t>100</t>
  </si>
  <si>
    <t>32033</t>
  </si>
  <si>
    <t>32034</t>
  </si>
  <si>
    <t>4000</t>
  </si>
  <si>
    <t>32035</t>
  </si>
  <si>
    <t>32036</t>
  </si>
  <si>
    <t>80/90</t>
  </si>
  <si>
    <t>32037</t>
  </si>
  <si>
    <t>32038</t>
  </si>
  <si>
    <t>V-8 Quattro</t>
  </si>
  <si>
    <t>32039</t>
  </si>
  <si>
    <t>Coupe Quattro</t>
  </si>
  <si>
    <t>32040</t>
  </si>
  <si>
    <t>S4 (1992-1994; 2000-2011)</t>
  </si>
  <si>
    <t>32041</t>
  </si>
  <si>
    <t>Cabriolet (1994-1998)</t>
  </si>
  <si>
    <t>32042</t>
  </si>
  <si>
    <t>A6</t>
  </si>
  <si>
    <t>32043</t>
  </si>
  <si>
    <t>A4</t>
  </si>
  <si>
    <t>32044</t>
  </si>
  <si>
    <t>A8</t>
  </si>
  <si>
    <t>32045</t>
  </si>
  <si>
    <t>TT/TTS</t>
  </si>
  <si>
    <t>32046</t>
  </si>
  <si>
    <t>S8</t>
  </si>
  <si>
    <t>32047</t>
  </si>
  <si>
    <t>Allroad (2001-2005)</t>
  </si>
  <si>
    <t>32048</t>
  </si>
  <si>
    <t>A3</t>
  </si>
  <si>
    <t>32049</t>
  </si>
  <si>
    <t>A5</t>
  </si>
  <si>
    <t>32050</t>
  </si>
  <si>
    <t>R8</t>
  </si>
  <si>
    <t>32051</t>
  </si>
  <si>
    <t>A7</t>
  </si>
  <si>
    <t>32052</t>
  </si>
  <si>
    <t>S5</t>
  </si>
  <si>
    <t>32054</t>
  </si>
  <si>
    <t>RS5</t>
  </si>
  <si>
    <t>32055</t>
  </si>
  <si>
    <t>S4 (2012 on)</t>
  </si>
  <si>
    <t>32056</t>
  </si>
  <si>
    <t>S6 (2013 on)</t>
  </si>
  <si>
    <t>32057</t>
  </si>
  <si>
    <t>S7</t>
  </si>
  <si>
    <t>32058</t>
  </si>
  <si>
    <t>RS7</t>
  </si>
  <si>
    <t>32059</t>
  </si>
  <si>
    <t>S3</t>
  </si>
  <si>
    <t>32398</t>
  </si>
  <si>
    <t>32399</t>
  </si>
  <si>
    <t>32401</t>
  </si>
  <si>
    <t>Q7</t>
  </si>
  <si>
    <t>32402</t>
  </si>
  <si>
    <t>Q5</t>
  </si>
  <si>
    <t>32403</t>
  </si>
  <si>
    <t>Allroad (2013 on)</t>
  </si>
  <si>
    <t>32404</t>
  </si>
  <si>
    <t>SQ5</t>
  </si>
  <si>
    <t>32405</t>
  </si>
  <si>
    <t>Q3</t>
  </si>
  <si>
    <t>32499</t>
  </si>
  <si>
    <t>32999</t>
  </si>
  <si>
    <t xml:space="preserve">Unknown (AUDI) </t>
  </si>
  <si>
    <t>33031</t>
  </si>
  <si>
    <t>Marina</t>
  </si>
  <si>
    <t>33032</t>
  </si>
  <si>
    <t>America</t>
  </si>
  <si>
    <t>33033</t>
  </si>
  <si>
    <t>Healey Sprite</t>
  </si>
  <si>
    <t>33034</t>
  </si>
  <si>
    <t>Healey 100/3000</t>
  </si>
  <si>
    <t>33035</t>
  </si>
  <si>
    <t>Mini/Mini Cooper/Mini Moke</t>
  </si>
  <si>
    <t>33398</t>
  </si>
  <si>
    <t>33399</t>
  </si>
  <si>
    <t>34031</t>
  </si>
  <si>
    <t>1600/1800/2000/2002</t>
  </si>
  <si>
    <t>34032</t>
  </si>
  <si>
    <t>Coupe (thru 1975)</t>
  </si>
  <si>
    <t>34033</t>
  </si>
  <si>
    <t>Bavarian Sedan</t>
  </si>
  <si>
    <t>34034</t>
  </si>
  <si>
    <t>3-series</t>
  </si>
  <si>
    <t>34035</t>
  </si>
  <si>
    <t>5-series</t>
  </si>
  <si>
    <t>34036</t>
  </si>
  <si>
    <t>6-series</t>
  </si>
  <si>
    <t>34037</t>
  </si>
  <si>
    <t>7-series</t>
  </si>
  <si>
    <t>34038</t>
  </si>
  <si>
    <t>8-series</t>
  </si>
  <si>
    <t>34039</t>
  </si>
  <si>
    <t>Z3</t>
  </si>
  <si>
    <t>34040</t>
  </si>
  <si>
    <t>Z8</t>
  </si>
  <si>
    <t>34041</t>
  </si>
  <si>
    <t>V5</t>
  </si>
  <si>
    <t>34042</t>
  </si>
  <si>
    <t>Z4</t>
  </si>
  <si>
    <t>34043</t>
  </si>
  <si>
    <t>1-Series</t>
  </si>
  <si>
    <t>34044</t>
  </si>
  <si>
    <t>X6</t>
  </si>
  <si>
    <t>34045</t>
  </si>
  <si>
    <t>i3</t>
  </si>
  <si>
    <t>34046</t>
  </si>
  <si>
    <t>i8</t>
  </si>
  <si>
    <t>34047</t>
  </si>
  <si>
    <t>4-Series</t>
  </si>
  <si>
    <t>34048</t>
  </si>
  <si>
    <t>2-Series</t>
  </si>
  <si>
    <t>34049</t>
  </si>
  <si>
    <t>X4</t>
  </si>
  <si>
    <t>34398</t>
  </si>
  <si>
    <t>34399</t>
  </si>
  <si>
    <t>34401</t>
  </si>
  <si>
    <t>X5</t>
  </si>
  <si>
    <t>34402</t>
  </si>
  <si>
    <t>X3</t>
  </si>
  <si>
    <t>34403</t>
  </si>
  <si>
    <t>X1</t>
  </si>
  <si>
    <t>34499</t>
  </si>
  <si>
    <t>34703</t>
  </si>
  <si>
    <t>125-349cc</t>
  </si>
  <si>
    <t>34705</t>
  </si>
  <si>
    <t>450-749cc</t>
  </si>
  <si>
    <t>34706</t>
  </si>
  <si>
    <t>750cc and over</t>
  </si>
  <si>
    <t>34709</t>
  </si>
  <si>
    <t xml:space="preserve">Unknown cc </t>
  </si>
  <si>
    <t>34999</t>
  </si>
  <si>
    <t xml:space="preserve">Unknown (BMW) </t>
  </si>
  <si>
    <t>35031</t>
  </si>
  <si>
    <t>F-10</t>
  </si>
  <si>
    <t>35032</t>
  </si>
  <si>
    <t>200SX/240SX</t>
  </si>
  <si>
    <t>35033</t>
  </si>
  <si>
    <t>210/1200/B210</t>
  </si>
  <si>
    <t>35034</t>
  </si>
  <si>
    <t>Z-car, ZX</t>
  </si>
  <si>
    <t>35035</t>
  </si>
  <si>
    <t>310</t>
  </si>
  <si>
    <t>35036</t>
  </si>
  <si>
    <t>510</t>
  </si>
  <si>
    <t>35037</t>
  </si>
  <si>
    <t>610</t>
  </si>
  <si>
    <t>35038</t>
  </si>
  <si>
    <t>710</t>
  </si>
  <si>
    <t>35039</t>
  </si>
  <si>
    <t>810/Maxima</t>
  </si>
  <si>
    <t>35040</t>
  </si>
  <si>
    <t>Roadster</t>
  </si>
  <si>
    <t>35041</t>
  </si>
  <si>
    <t>311/411</t>
  </si>
  <si>
    <t>35042</t>
  </si>
  <si>
    <t>Stanza</t>
  </si>
  <si>
    <t>35043</t>
  </si>
  <si>
    <t>Sentra</t>
  </si>
  <si>
    <t>35044</t>
  </si>
  <si>
    <t>Pulsar</t>
  </si>
  <si>
    <t>35045</t>
  </si>
  <si>
    <t>Micra</t>
  </si>
  <si>
    <t>35046</t>
  </si>
  <si>
    <t>NX 1600/2000</t>
  </si>
  <si>
    <t>35047</t>
  </si>
  <si>
    <t>Altima</t>
  </si>
  <si>
    <t>35048</t>
  </si>
  <si>
    <t>350Z/370Z</t>
  </si>
  <si>
    <t>35049</t>
  </si>
  <si>
    <t>Murano</t>
  </si>
  <si>
    <t>35050</t>
  </si>
  <si>
    <t>Versa</t>
  </si>
  <si>
    <t>35051</t>
  </si>
  <si>
    <t>Rogue</t>
  </si>
  <si>
    <t>35052</t>
  </si>
  <si>
    <t>Cube</t>
  </si>
  <si>
    <t>35053</t>
  </si>
  <si>
    <t>GT-R</t>
  </si>
  <si>
    <t>35055</t>
  </si>
  <si>
    <t>Leaf</t>
  </si>
  <si>
    <t>35398</t>
  </si>
  <si>
    <t xml:space="preserve">Other (automobile)  </t>
  </si>
  <si>
    <t>35399</t>
  </si>
  <si>
    <t xml:space="preserve">Unknown (automobile)  </t>
  </si>
  <si>
    <t>35401</t>
  </si>
  <si>
    <t>Pathfinder</t>
  </si>
  <si>
    <t>35402</t>
  </si>
  <si>
    <t>Xterra</t>
  </si>
  <si>
    <t>35403</t>
  </si>
  <si>
    <t>Juke</t>
  </si>
  <si>
    <t>35421</t>
  </si>
  <si>
    <t>Pathfinder Armada</t>
  </si>
  <si>
    <t>35441</t>
  </si>
  <si>
    <t>Van</t>
  </si>
  <si>
    <t>35442</t>
  </si>
  <si>
    <t>Axxess</t>
  </si>
  <si>
    <t>35443</t>
  </si>
  <si>
    <t>Quest</t>
  </si>
  <si>
    <t>35444</t>
  </si>
  <si>
    <t>Altra EV</t>
  </si>
  <si>
    <t>35446</t>
  </si>
  <si>
    <t>NV200/eNV200</t>
  </si>
  <si>
    <t>35461</t>
  </si>
  <si>
    <t xml:space="preserve">NV </t>
  </si>
  <si>
    <t>35471</t>
  </si>
  <si>
    <t>Datsun/Nissan Pickup (1955-1997)</t>
  </si>
  <si>
    <t>35472</t>
  </si>
  <si>
    <t>Frontier (1998 on)</t>
  </si>
  <si>
    <t>35473</t>
  </si>
  <si>
    <t>Titan (2004-2006)</t>
  </si>
  <si>
    <t>35481</t>
  </si>
  <si>
    <t>Titan (2007 on)</t>
  </si>
  <si>
    <t>35498</t>
  </si>
  <si>
    <t>35499</t>
  </si>
  <si>
    <t>35870</t>
  </si>
  <si>
    <t>35883</t>
  </si>
  <si>
    <t>35898</t>
  </si>
  <si>
    <t>35999</t>
  </si>
  <si>
    <t xml:space="preserve">Unknown (NISSAN/DATSUN) </t>
  </si>
  <si>
    <t>36031</t>
  </si>
  <si>
    <t>124 (Coupe/Sedan)</t>
  </si>
  <si>
    <t>36032</t>
  </si>
  <si>
    <t>124 Spider/Racer</t>
  </si>
  <si>
    <t>36033</t>
  </si>
  <si>
    <t>Brava/131</t>
  </si>
  <si>
    <t>36034</t>
  </si>
  <si>
    <t>850 (Coupe/Spider)</t>
  </si>
  <si>
    <t>36035</t>
  </si>
  <si>
    <t>128</t>
  </si>
  <si>
    <t>36036</t>
  </si>
  <si>
    <t>X-1/9</t>
  </si>
  <si>
    <t>36037</t>
  </si>
  <si>
    <t>Strada</t>
  </si>
  <si>
    <t>36038</t>
  </si>
  <si>
    <t xml:space="preserve">500/500c </t>
  </si>
  <si>
    <t>36398</t>
  </si>
  <si>
    <t>36399</t>
  </si>
  <si>
    <t>36401</t>
  </si>
  <si>
    <t>500L</t>
  </si>
  <si>
    <t>36402</t>
  </si>
  <si>
    <t>500X</t>
  </si>
  <si>
    <t>36499</t>
  </si>
  <si>
    <t>36882</t>
  </si>
  <si>
    <t>36883</t>
  </si>
  <si>
    <t>36890</t>
  </si>
  <si>
    <t>36898</t>
  </si>
  <si>
    <t>36998</t>
  </si>
  <si>
    <t>36999</t>
  </si>
  <si>
    <t xml:space="preserve">Unknown (FIAT) </t>
  </si>
  <si>
    <t>37031</t>
  </si>
  <si>
    <t>Civic/CRX, del Sol</t>
  </si>
  <si>
    <t>37032</t>
  </si>
  <si>
    <t>Accord</t>
  </si>
  <si>
    <t>37033</t>
  </si>
  <si>
    <t>Prelude</t>
  </si>
  <si>
    <t>37034</t>
  </si>
  <si>
    <t>37035</t>
  </si>
  <si>
    <t>S2000</t>
  </si>
  <si>
    <t>37036</t>
  </si>
  <si>
    <t>EV Plus</t>
  </si>
  <si>
    <t>37037</t>
  </si>
  <si>
    <t>Insight</t>
  </si>
  <si>
    <t>37038</t>
  </si>
  <si>
    <t>FCX</t>
  </si>
  <si>
    <t>37039</t>
  </si>
  <si>
    <t>Fit</t>
  </si>
  <si>
    <t>37041</t>
  </si>
  <si>
    <t>CR-Z</t>
  </si>
  <si>
    <t>37398</t>
  </si>
  <si>
    <t>37399</t>
  </si>
  <si>
    <t>37401</t>
  </si>
  <si>
    <t>Passport</t>
  </si>
  <si>
    <t>37402</t>
  </si>
  <si>
    <t>CR-V</t>
  </si>
  <si>
    <t>37403</t>
  </si>
  <si>
    <t>Element</t>
  </si>
  <si>
    <t>37421</t>
  </si>
  <si>
    <t>Pilot</t>
  </si>
  <si>
    <t>37441</t>
  </si>
  <si>
    <t>Odyssey</t>
  </si>
  <si>
    <t>37471</t>
  </si>
  <si>
    <t>Ridgeline</t>
  </si>
  <si>
    <t>37499</t>
  </si>
  <si>
    <t>37701</t>
  </si>
  <si>
    <t>Motorcycle 0-50 cc</t>
  </si>
  <si>
    <t>37702</t>
  </si>
  <si>
    <t>Motorcycle 51-124 cc</t>
  </si>
  <si>
    <t>37703</t>
  </si>
  <si>
    <t>Motorcycle 125-349 cc</t>
  </si>
  <si>
    <t>37704</t>
  </si>
  <si>
    <t>Motorcycle 350-449 cc</t>
  </si>
  <si>
    <t>37705</t>
  </si>
  <si>
    <t>Motorcycle 450-749 cc</t>
  </si>
  <si>
    <t>37706</t>
  </si>
  <si>
    <t>Motorcycle 750 cc or greater</t>
  </si>
  <si>
    <t>37709</t>
  </si>
  <si>
    <t>37732</t>
  </si>
  <si>
    <t>ATV 51-124cc</t>
  </si>
  <si>
    <t>37733</t>
  </si>
  <si>
    <t>ATV 125-349cc</t>
  </si>
  <si>
    <t>37734</t>
  </si>
  <si>
    <t>ATV 350cc or greater</t>
  </si>
  <si>
    <t>37739</t>
  </si>
  <si>
    <t>37998</t>
  </si>
  <si>
    <t>37999</t>
  </si>
  <si>
    <t xml:space="preserve">Unknown (HONDA) </t>
  </si>
  <si>
    <t>38031</t>
  </si>
  <si>
    <t>I-Mark</t>
  </si>
  <si>
    <t>38032</t>
  </si>
  <si>
    <t>Impulse</t>
  </si>
  <si>
    <t>38033</t>
  </si>
  <si>
    <t>Stylus</t>
  </si>
  <si>
    <t>38398</t>
  </si>
  <si>
    <t>38399</t>
  </si>
  <si>
    <t>38401</t>
  </si>
  <si>
    <t>Trooper/Trooper II</t>
  </si>
  <si>
    <t>38402</t>
  </si>
  <si>
    <t>Rodeo/Rodeo Sport</t>
  </si>
  <si>
    <t>38403</t>
  </si>
  <si>
    <t>Amigo</t>
  </si>
  <si>
    <t>38404</t>
  </si>
  <si>
    <t>VehiCROSS</t>
  </si>
  <si>
    <t>38405</t>
  </si>
  <si>
    <t>Axiom</t>
  </si>
  <si>
    <t>38421</t>
  </si>
  <si>
    <t>Ascender</t>
  </si>
  <si>
    <t>38441</t>
  </si>
  <si>
    <t>Oasis</t>
  </si>
  <si>
    <t>38471</t>
  </si>
  <si>
    <t>P'up (pickup)</t>
  </si>
  <si>
    <t>38472</t>
  </si>
  <si>
    <t>Hombre</t>
  </si>
  <si>
    <t>38473</t>
  </si>
  <si>
    <t>i-280/i-290</t>
  </si>
  <si>
    <t>38474</t>
  </si>
  <si>
    <t>i-350/i-370</t>
  </si>
  <si>
    <t>38498</t>
  </si>
  <si>
    <t>38499</t>
  </si>
  <si>
    <t>38881</t>
  </si>
  <si>
    <t>38882</t>
  </si>
  <si>
    <t>38883</t>
  </si>
  <si>
    <t>38884</t>
  </si>
  <si>
    <t>38890</t>
  </si>
  <si>
    <t xml:space="preserve">Medium/Heavy Â­ COE  entry position  unknown </t>
  </si>
  <si>
    <t>38898</t>
  </si>
  <si>
    <t>38981</t>
  </si>
  <si>
    <t>38982</t>
  </si>
  <si>
    <t>Bus: Front engine, Flat front</t>
  </si>
  <si>
    <t>38983</t>
  </si>
  <si>
    <t>Bus: Rear engine Flat front</t>
  </si>
  <si>
    <t>38988</t>
  </si>
  <si>
    <t>38989</t>
  </si>
  <si>
    <t xml:space="preserve">Unknown (bus)  </t>
  </si>
  <si>
    <t>38999</t>
  </si>
  <si>
    <t xml:space="preserve">Unknown (ISUZU) </t>
  </si>
  <si>
    <t>39031</t>
  </si>
  <si>
    <t>XJ-S, XK8 Coupe</t>
  </si>
  <si>
    <t>39032</t>
  </si>
  <si>
    <t>XJ/XJL/XJ6/12/XJR/XJ8/XJ8L Sedan/Coupe</t>
  </si>
  <si>
    <t>39033</t>
  </si>
  <si>
    <t>XK-E</t>
  </si>
  <si>
    <t>39034</t>
  </si>
  <si>
    <t>S-Type</t>
  </si>
  <si>
    <t>39035</t>
  </si>
  <si>
    <t>XKR/XK</t>
  </si>
  <si>
    <t>39036</t>
  </si>
  <si>
    <t>X-Type</t>
  </si>
  <si>
    <t>39037</t>
  </si>
  <si>
    <t>XF/XF-R</t>
  </si>
  <si>
    <t>39038</t>
  </si>
  <si>
    <t>F-Type</t>
  </si>
  <si>
    <t>39398</t>
  </si>
  <si>
    <t>39399</t>
  </si>
  <si>
    <t>40031</t>
  </si>
  <si>
    <t>Beta Sedan â€“ HPE</t>
  </si>
  <si>
    <t>40032</t>
  </si>
  <si>
    <t>Zagato</t>
  </si>
  <si>
    <t>40033</t>
  </si>
  <si>
    <t>Scorpion</t>
  </si>
  <si>
    <t>40398</t>
  </si>
  <si>
    <t>40399</t>
  </si>
  <si>
    <t>41031</t>
  </si>
  <si>
    <t>RX2</t>
  </si>
  <si>
    <t>41032</t>
  </si>
  <si>
    <t>RX3</t>
  </si>
  <si>
    <t>41033</t>
  </si>
  <si>
    <t>RX4</t>
  </si>
  <si>
    <t>41034</t>
  </si>
  <si>
    <t>RX7</t>
  </si>
  <si>
    <t>41035</t>
  </si>
  <si>
    <t>323/GLC/ProtÃ©gÃ©/ ProtÃ©gÃ© 5</t>
  </si>
  <si>
    <t>41036</t>
  </si>
  <si>
    <t>Cosmo</t>
  </si>
  <si>
    <t>41037</t>
  </si>
  <si>
    <t>626</t>
  </si>
  <si>
    <t>41038</t>
  </si>
  <si>
    <t>808</t>
  </si>
  <si>
    <t>41039</t>
  </si>
  <si>
    <t>Mizer</t>
  </si>
  <si>
    <t>41040</t>
  </si>
  <si>
    <t>R-100</t>
  </si>
  <si>
    <t>41041</t>
  </si>
  <si>
    <t>616/618</t>
  </si>
  <si>
    <t>41042</t>
  </si>
  <si>
    <t>1800</t>
  </si>
  <si>
    <t>41043</t>
  </si>
  <si>
    <t>929</t>
  </si>
  <si>
    <t>41044</t>
  </si>
  <si>
    <t>MX-6</t>
  </si>
  <si>
    <t>41045</t>
  </si>
  <si>
    <t>Miata/MX-5</t>
  </si>
  <si>
    <t>41046</t>
  </si>
  <si>
    <t>MX-3</t>
  </si>
  <si>
    <t>41047</t>
  </si>
  <si>
    <t>Millenia</t>
  </si>
  <si>
    <t>41048</t>
  </si>
  <si>
    <t>MP3</t>
  </si>
  <si>
    <t>41049</t>
  </si>
  <si>
    <t>RX-8</t>
  </si>
  <si>
    <t>41050</t>
  </si>
  <si>
    <t>Mazda6</t>
  </si>
  <si>
    <t>41051</t>
  </si>
  <si>
    <t>Mazda3</t>
  </si>
  <si>
    <t>41052</t>
  </si>
  <si>
    <t>Mazda5</t>
  </si>
  <si>
    <t>41053</t>
  </si>
  <si>
    <t>CX-7</t>
  </si>
  <si>
    <t>41054</t>
  </si>
  <si>
    <t>CX-9 (2007-2012)</t>
  </si>
  <si>
    <t>41055</t>
  </si>
  <si>
    <t>Mazda2</t>
  </si>
  <si>
    <t>41398</t>
  </si>
  <si>
    <t>41399</t>
  </si>
  <si>
    <t>41401</t>
  </si>
  <si>
    <t>Navajo</t>
  </si>
  <si>
    <t>41402</t>
  </si>
  <si>
    <t>Tribute</t>
  </si>
  <si>
    <t>41403</t>
  </si>
  <si>
    <t>CX-5</t>
  </si>
  <si>
    <t>41421</t>
  </si>
  <si>
    <t>CX-9 (2013 on)</t>
  </si>
  <si>
    <t>41441</t>
  </si>
  <si>
    <t>MPV</t>
  </si>
  <si>
    <t>41471</t>
  </si>
  <si>
    <t>Pickup/ B-Series Pickup</t>
  </si>
  <si>
    <t>41498</t>
  </si>
  <si>
    <t>41499</t>
  </si>
  <si>
    <t>41999</t>
  </si>
  <si>
    <t xml:space="preserve">Unknown (MAZDA) </t>
  </si>
  <si>
    <t>42031</t>
  </si>
  <si>
    <t>200/220/230/240/ 250/260/280/300/ 320/420</t>
  </si>
  <si>
    <t>42032</t>
  </si>
  <si>
    <t>230/280 SL</t>
  </si>
  <si>
    <t>42033</t>
  </si>
  <si>
    <t>300/350/380/450/500/ 560 SL</t>
  </si>
  <si>
    <t>42034</t>
  </si>
  <si>
    <t>350/380/420/450/560 SLC</t>
  </si>
  <si>
    <t>42035</t>
  </si>
  <si>
    <t>280/300 SEL</t>
  </si>
  <si>
    <t>42036</t>
  </si>
  <si>
    <t>300/380/420/450/500/560/SEL &amp; 500/560, 600 SEC &amp; 300/350 SDL</t>
  </si>
  <si>
    <t>42037</t>
  </si>
  <si>
    <t>300/380/450 SE</t>
  </si>
  <si>
    <t>42038</t>
  </si>
  <si>
    <t>600, 6.9 Sedan</t>
  </si>
  <si>
    <t>42039</t>
  </si>
  <si>
    <t>190</t>
  </si>
  <si>
    <t>42040</t>
  </si>
  <si>
    <t>42041</t>
  </si>
  <si>
    <t>400/500E</t>
  </si>
  <si>
    <t>42042</t>
  </si>
  <si>
    <t>C Class (1994 on)</t>
  </si>
  <si>
    <t>42043</t>
  </si>
  <si>
    <t>S Class (1995 on)</t>
  </si>
  <si>
    <t>42044</t>
  </si>
  <si>
    <t>SL Class (1995 on)</t>
  </si>
  <si>
    <t>42045</t>
  </si>
  <si>
    <t>SLK</t>
  </si>
  <si>
    <t>42046</t>
  </si>
  <si>
    <t>CL Class</t>
  </si>
  <si>
    <t>42047</t>
  </si>
  <si>
    <t>CLK</t>
  </si>
  <si>
    <t>42048</t>
  </si>
  <si>
    <t>E Class (1997 on)</t>
  </si>
  <si>
    <t>42049</t>
  </si>
  <si>
    <t>SLR</t>
  </si>
  <si>
    <t>42050</t>
  </si>
  <si>
    <t>R Class</t>
  </si>
  <si>
    <t>42051</t>
  </si>
  <si>
    <t>CLS Class</t>
  </si>
  <si>
    <t>42052</t>
  </si>
  <si>
    <t>SLS Class</t>
  </si>
  <si>
    <t>42053</t>
  </si>
  <si>
    <t>B Class</t>
  </si>
  <si>
    <t>42054</t>
  </si>
  <si>
    <t>CLA Class</t>
  </si>
  <si>
    <t>42055</t>
  </si>
  <si>
    <t>GLA Class</t>
  </si>
  <si>
    <t>42056</t>
  </si>
  <si>
    <t>AMG GT S</t>
  </si>
  <si>
    <t>42398</t>
  </si>
  <si>
    <t>42399</t>
  </si>
  <si>
    <t>42401</t>
  </si>
  <si>
    <t>M/ML Class</t>
  </si>
  <si>
    <t>42402</t>
  </si>
  <si>
    <t>G Class</t>
  </si>
  <si>
    <t>42403</t>
  </si>
  <si>
    <t>GLK Class</t>
  </si>
  <si>
    <t>42421</t>
  </si>
  <si>
    <t>GL Class</t>
  </si>
  <si>
    <t>42461</t>
  </si>
  <si>
    <t>42470</t>
  </si>
  <si>
    <t>42498</t>
  </si>
  <si>
    <t>42499</t>
  </si>
  <si>
    <t>42870</t>
  </si>
  <si>
    <t>42881</t>
  </si>
  <si>
    <t>42882</t>
  </si>
  <si>
    <t>42883</t>
  </si>
  <si>
    <t>42884</t>
  </si>
  <si>
    <t>42890</t>
  </si>
  <si>
    <t>42898</t>
  </si>
  <si>
    <t>42981</t>
  </si>
  <si>
    <t>42988</t>
  </si>
  <si>
    <t>42989</t>
  </si>
  <si>
    <t>Unknown (bus)</t>
  </si>
  <si>
    <t>42998</t>
  </si>
  <si>
    <t>42999</t>
  </si>
  <si>
    <t xml:space="preserve">Unknown (MERCEDES BENZ)  </t>
  </si>
  <si>
    <t>43031</t>
  </si>
  <si>
    <t>Midget</t>
  </si>
  <si>
    <t>43032</t>
  </si>
  <si>
    <t>MGB (MK I/II/IV, 600 Limited, V-8%)</t>
  </si>
  <si>
    <t>43033</t>
  </si>
  <si>
    <t>MGB (GT,MK III)</t>
  </si>
  <si>
    <t>43034</t>
  </si>
  <si>
    <t>MGA</t>
  </si>
  <si>
    <t>43035</t>
  </si>
  <si>
    <t>TA/TC/TD/TF</t>
  </si>
  <si>
    <t>43036</t>
  </si>
  <si>
    <t>MGC</t>
  </si>
  <si>
    <t>43037</t>
  </si>
  <si>
    <t>Magnette/Sports Sedans</t>
  </si>
  <si>
    <t>43398</t>
  </si>
  <si>
    <t>43399</t>
  </si>
  <si>
    <t>44031</t>
  </si>
  <si>
    <t>304</t>
  </si>
  <si>
    <t>44032</t>
  </si>
  <si>
    <t>403</t>
  </si>
  <si>
    <t>44033</t>
  </si>
  <si>
    <t>404</t>
  </si>
  <si>
    <t>44034</t>
  </si>
  <si>
    <t>504/505</t>
  </si>
  <si>
    <t>44035</t>
  </si>
  <si>
    <t>604</t>
  </si>
  <si>
    <t>44036</t>
  </si>
  <si>
    <t>405</t>
  </si>
  <si>
    <t>44398</t>
  </si>
  <si>
    <t>44399</t>
  </si>
  <si>
    <t>44701</t>
  </si>
  <si>
    <t>0-50 cc</t>
  </si>
  <si>
    <t>44702</t>
  </si>
  <si>
    <t>51-124cc</t>
  </si>
  <si>
    <t>44709</t>
  </si>
  <si>
    <t>Unknown cc</t>
  </si>
  <si>
    <t>44999</t>
  </si>
  <si>
    <t>Unknown (PEUGEOT)</t>
  </si>
  <si>
    <t>45031</t>
  </si>
  <si>
    <t>911/996</t>
  </si>
  <si>
    <t>45032</t>
  </si>
  <si>
    <t>912</t>
  </si>
  <si>
    <t>45033</t>
  </si>
  <si>
    <t>914</t>
  </si>
  <si>
    <t>45034</t>
  </si>
  <si>
    <t>924</t>
  </si>
  <si>
    <t>45035</t>
  </si>
  <si>
    <t>928</t>
  </si>
  <si>
    <t>45036</t>
  </si>
  <si>
    <t>930</t>
  </si>
  <si>
    <t>45037</t>
  </si>
  <si>
    <t>944</t>
  </si>
  <si>
    <t>45038</t>
  </si>
  <si>
    <t>959</t>
  </si>
  <si>
    <t>45039</t>
  </si>
  <si>
    <t>968</t>
  </si>
  <si>
    <t>45040</t>
  </si>
  <si>
    <t>986/Boxster</t>
  </si>
  <si>
    <t>45041</t>
  </si>
  <si>
    <t>Cayman</t>
  </si>
  <si>
    <t>45042</t>
  </si>
  <si>
    <t>Panamera</t>
  </si>
  <si>
    <t>45043</t>
  </si>
  <si>
    <t>918</t>
  </si>
  <si>
    <t>45398</t>
  </si>
  <si>
    <t>45399</t>
  </si>
  <si>
    <t>45401</t>
  </si>
  <si>
    <t>Macan</t>
  </si>
  <si>
    <t>45421</t>
  </si>
  <si>
    <t>Cayenne</t>
  </si>
  <si>
    <t>45499</t>
  </si>
  <si>
    <t>45999</t>
  </si>
  <si>
    <t xml:space="preserve">Unknown (PORSCHE) </t>
  </si>
  <si>
    <t>46031</t>
  </si>
  <si>
    <t>LeCar</t>
  </si>
  <si>
    <t>46032</t>
  </si>
  <si>
    <t>Dauphine/10/R-8 Caravelle</t>
  </si>
  <si>
    <t>46033</t>
  </si>
  <si>
    <t>46034</t>
  </si>
  <si>
    <t>46035</t>
  </si>
  <si>
    <t>46036</t>
  </si>
  <si>
    <t>46037</t>
  </si>
  <si>
    <t>18i/Sportwagon</t>
  </si>
  <si>
    <t>46038</t>
  </si>
  <si>
    <t>Fuego</t>
  </si>
  <si>
    <t>46039</t>
  </si>
  <si>
    <t>Alliance/Encore GTA, Convertible</t>
  </si>
  <si>
    <t>46041</t>
  </si>
  <si>
    <t>Alpine</t>
  </si>
  <si>
    <t>46044</t>
  </si>
  <si>
    <t>46045</t>
  </si>
  <si>
    <t>46398</t>
  </si>
  <si>
    <t>46399</t>
  </si>
  <si>
    <t>47031</t>
  </si>
  <si>
    <t>99/99E/900</t>
  </si>
  <si>
    <t>47032</t>
  </si>
  <si>
    <t>Sonnett</t>
  </si>
  <si>
    <t>47033</t>
  </si>
  <si>
    <t>95/96</t>
  </si>
  <si>
    <t>47034</t>
  </si>
  <si>
    <t>9000</t>
  </si>
  <si>
    <t>47035</t>
  </si>
  <si>
    <t>9-3/9-3x</t>
  </si>
  <si>
    <t>47036</t>
  </si>
  <si>
    <t>9-5</t>
  </si>
  <si>
    <t>47037</t>
  </si>
  <si>
    <t>9-2x</t>
  </si>
  <si>
    <t>47038</t>
  </si>
  <si>
    <t>9-4x</t>
  </si>
  <si>
    <t>47398</t>
  </si>
  <si>
    <t>47399</t>
  </si>
  <si>
    <t>47401</t>
  </si>
  <si>
    <t>9-7x</t>
  </si>
  <si>
    <t>47999</t>
  </si>
  <si>
    <t xml:space="preserve">Unknown (SAAB) </t>
  </si>
  <si>
    <t>48031</t>
  </si>
  <si>
    <t>Loyale (1990 on)/DL/ FE/G/GF/GL/GLF/ STD</t>
  </si>
  <si>
    <t>48032</t>
  </si>
  <si>
    <t>Star</t>
  </si>
  <si>
    <t>48033</t>
  </si>
  <si>
    <t>360</t>
  </si>
  <si>
    <t>48034</t>
  </si>
  <si>
    <t>Legacy/Outback (thru 2003)</t>
  </si>
  <si>
    <t>48035</t>
  </si>
  <si>
    <t>XT/XT6</t>
  </si>
  <si>
    <t>48036</t>
  </si>
  <si>
    <t>Justy</t>
  </si>
  <si>
    <t>48037</t>
  </si>
  <si>
    <t>SVX</t>
  </si>
  <si>
    <t>48038</t>
  </si>
  <si>
    <t>Impreza</t>
  </si>
  <si>
    <t>48039</t>
  </si>
  <si>
    <t>RX</t>
  </si>
  <si>
    <t>48043</t>
  </si>
  <si>
    <t>Brat</t>
  </si>
  <si>
    <t>48044</t>
  </si>
  <si>
    <t>Baja</t>
  </si>
  <si>
    <t>48045</t>
  </si>
  <si>
    <t>Outback (2003 on)</t>
  </si>
  <si>
    <t>48046</t>
  </si>
  <si>
    <t>BRZ</t>
  </si>
  <si>
    <t>48047</t>
  </si>
  <si>
    <t>WRX (2015 on)</t>
  </si>
  <si>
    <t>48398</t>
  </si>
  <si>
    <t>48399</t>
  </si>
  <si>
    <t>48401</t>
  </si>
  <si>
    <t>Forester</t>
  </si>
  <si>
    <t>48402</t>
  </si>
  <si>
    <t>B9 Tribeca</t>
  </si>
  <si>
    <t>48403</t>
  </si>
  <si>
    <t>XV Crosstrek</t>
  </si>
  <si>
    <t>48499</t>
  </si>
  <si>
    <t>48999</t>
  </si>
  <si>
    <t xml:space="preserve">Unknown (SUBARU) </t>
  </si>
  <si>
    <t>49031</t>
  </si>
  <si>
    <t>Corona</t>
  </si>
  <si>
    <t>49032</t>
  </si>
  <si>
    <t>Corolla</t>
  </si>
  <si>
    <t>49033</t>
  </si>
  <si>
    <t>Celica</t>
  </si>
  <si>
    <t>49034</t>
  </si>
  <si>
    <t>Supra</t>
  </si>
  <si>
    <t>49035</t>
  </si>
  <si>
    <t>Cressida</t>
  </si>
  <si>
    <t>49036</t>
  </si>
  <si>
    <t>Crown</t>
  </si>
  <si>
    <t>49037</t>
  </si>
  <si>
    <t>Carina</t>
  </si>
  <si>
    <t>49038</t>
  </si>
  <si>
    <t>Tercel</t>
  </si>
  <si>
    <t>49039</t>
  </si>
  <si>
    <t>Starlet</t>
  </si>
  <si>
    <t>49040</t>
  </si>
  <si>
    <t>Camry</t>
  </si>
  <si>
    <t>49041</t>
  </si>
  <si>
    <t>MR-2/MR Spyder</t>
  </si>
  <si>
    <t>49042</t>
  </si>
  <si>
    <t>Paseo</t>
  </si>
  <si>
    <t>49043</t>
  </si>
  <si>
    <t>Avalon</t>
  </si>
  <si>
    <t>49044</t>
  </si>
  <si>
    <t>Solara</t>
  </si>
  <si>
    <t>49045</t>
  </si>
  <si>
    <t>ECHO</t>
  </si>
  <si>
    <t>49046</t>
  </si>
  <si>
    <t>Prius</t>
  </si>
  <si>
    <t>49047</t>
  </si>
  <si>
    <t>Matrix</t>
  </si>
  <si>
    <t>49048</t>
  </si>
  <si>
    <t>Scion xA</t>
  </si>
  <si>
    <t>49049</t>
  </si>
  <si>
    <t>Scion xB (2004-2011)</t>
  </si>
  <si>
    <t>49050</t>
  </si>
  <si>
    <t>Scion tC (2005-2011)</t>
  </si>
  <si>
    <t>49051</t>
  </si>
  <si>
    <t>Yaris</t>
  </si>
  <si>
    <t>49052</t>
  </si>
  <si>
    <t>Scion xD (2007-2011)</t>
  </si>
  <si>
    <t>49053</t>
  </si>
  <si>
    <t>Venza</t>
  </si>
  <si>
    <t>49054</t>
  </si>
  <si>
    <t>Scion iQ (2010-2011)</t>
  </si>
  <si>
    <t>49055</t>
  </si>
  <si>
    <t>Mirai</t>
  </si>
  <si>
    <t>49398</t>
  </si>
  <si>
    <t>49399</t>
  </si>
  <si>
    <t>49401</t>
  </si>
  <si>
    <t>4-Runner</t>
  </si>
  <si>
    <t>49402</t>
  </si>
  <si>
    <t>RAV4</t>
  </si>
  <si>
    <t>49403</t>
  </si>
  <si>
    <t>Highlander</t>
  </si>
  <si>
    <t>49404</t>
  </si>
  <si>
    <t>FJ Cruiser</t>
  </si>
  <si>
    <t>49421</t>
  </si>
  <si>
    <t>Land Cruiser</t>
  </si>
  <si>
    <t>49422</t>
  </si>
  <si>
    <t>Sequoia</t>
  </si>
  <si>
    <t>49441</t>
  </si>
  <si>
    <t>Minivan (1984-1990)/ Previa (1991 on)</t>
  </si>
  <si>
    <t>49442</t>
  </si>
  <si>
    <t>Sienna</t>
  </si>
  <si>
    <t>49471</t>
  </si>
  <si>
    <t>Pickup</t>
  </si>
  <si>
    <t>49472</t>
  </si>
  <si>
    <t>Tacoma</t>
  </si>
  <si>
    <t>49481</t>
  </si>
  <si>
    <t>T-100</t>
  </si>
  <si>
    <t>49482</t>
  </si>
  <si>
    <t>Tundra</t>
  </si>
  <si>
    <t>49498</t>
  </si>
  <si>
    <t>49499</t>
  </si>
  <si>
    <t>49999</t>
  </si>
  <si>
    <t xml:space="preserve">Unknown (TOYOTA) </t>
  </si>
  <si>
    <t>50031</t>
  </si>
  <si>
    <t>Spitfire</t>
  </si>
  <si>
    <t>50032</t>
  </si>
  <si>
    <t>GT-6</t>
  </si>
  <si>
    <t>50033</t>
  </si>
  <si>
    <t>TR4</t>
  </si>
  <si>
    <t>50034</t>
  </si>
  <si>
    <t>TR6</t>
  </si>
  <si>
    <t>50035</t>
  </si>
  <si>
    <t>TR7/TR8</t>
  </si>
  <si>
    <t>50036</t>
  </si>
  <si>
    <t>Herald</t>
  </si>
  <si>
    <t>50037</t>
  </si>
  <si>
    <t>Stag</t>
  </si>
  <si>
    <t>50398</t>
  </si>
  <si>
    <t>50399</t>
  </si>
  <si>
    <t>50701</t>
  </si>
  <si>
    <t>0-50cc</t>
  </si>
  <si>
    <t>50702</t>
  </si>
  <si>
    <t>50703</t>
  </si>
  <si>
    <t>50704</t>
  </si>
  <si>
    <t>350-449cc</t>
  </si>
  <si>
    <t>50705</t>
  </si>
  <si>
    <t>50706</t>
  </si>
  <si>
    <t>750cc or greater</t>
  </si>
  <si>
    <t>50709</t>
  </si>
  <si>
    <t>50799</t>
  </si>
  <si>
    <t xml:space="preserve">Unknown (motored cycle) </t>
  </si>
  <si>
    <t>50999</t>
  </si>
  <si>
    <t xml:space="preserve">Unknown (TRIUMPH) </t>
  </si>
  <si>
    <t>51031</t>
  </si>
  <si>
    <t>122</t>
  </si>
  <si>
    <t>51032</t>
  </si>
  <si>
    <t xml:space="preserve">140/142/144/145 </t>
  </si>
  <si>
    <t>51033</t>
  </si>
  <si>
    <t>164</t>
  </si>
  <si>
    <t>51034</t>
  </si>
  <si>
    <t>240 series/DL/GL/GLT</t>
  </si>
  <si>
    <t>51035</t>
  </si>
  <si>
    <t>260 series/GLE</t>
  </si>
  <si>
    <t>51036</t>
  </si>
  <si>
    <t>51037</t>
  </si>
  <si>
    <t>PV544</t>
  </si>
  <si>
    <t>51038</t>
  </si>
  <si>
    <t>760/780</t>
  </si>
  <si>
    <t>51039</t>
  </si>
  <si>
    <t>740</t>
  </si>
  <si>
    <t>51040</t>
  </si>
  <si>
    <t>940</t>
  </si>
  <si>
    <t>51041</t>
  </si>
  <si>
    <t>960</t>
  </si>
  <si>
    <t>51042</t>
  </si>
  <si>
    <t>850</t>
  </si>
  <si>
    <t>51043</t>
  </si>
  <si>
    <t>70 Series (1998-2013)</t>
  </si>
  <si>
    <t>51044</t>
  </si>
  <si>
    <t>90 Series</t>
  </si>
  <si>
    <t>51045</t>
  </si>
  <si>
    <t>80 Series</t>
  </si>
  <si>
    <t>51046</t>
  </si>
  <si>
    <t>40 Series</t>
  </si>
  <si>
    <t>51047</t>
  </si>
  <si>
    <t>60 Series</t>
  </si>
  <si>
    <t>51048</t>
  </si>
  <si>
    <t>V50</t>
  </si>
  <si>
    <t>51049</t>
  </si>
  <si>
    <t>C30</t>
  </si>
  <si>
    <t>51050</t>
  </si>
  <si>
    <t>XC60</t>
  </si>
  <si>
    <t>51051</t>
  </si>
  <si>
    <t>V60</t>
  </si>
  <si>
    <t>51398</t>
  </si>
  <si>
    <t>51399</t>
  </si>
  <si>
    <t>51401</t>
  </si>
  <si>
    <t>XC90</t>
  </si>
  <si>
    <t>51402</t>
  </si>
  <si>
    <t>XC70 (2014 on)</t>
  </si>
  <si>
    <t>51499</t>
  </si>
  <si>
    <t>51881</t>
  </si>
  <si>
    <t>51882</t>
  </si>
  <si>
    <t>51883</t>
  </si>
  <si>
    <t>51884</t>
  </si>
  <si>
    <t>51890</t>
  </si>
  <si>
    <t>51898</t>
  </si>
  <si>
    <t>51981</t>
  </si>
  <si>
    <t>51983</t>
  </si>
  <si>
    <t>51988</t>
  </si>
  <si>
    <t>51989</t>
  </si>
  <si>
    <t>51998</t>
  </si>
  <si>
    <t xml:space="preserve">Other (Vehicle) </t>
  </si>
  <si>
    <t>51999</t>
  </si>
  <si>
    <t xml:space="preserve">Unknown (VOLVO) </t>
  </si>
  <si>
    <t>52031</t>
  </si>
  <si>
    <t>Starion</t>
  </si>
  <si>
    <t>52032</t>
  </si>
  <si>
    <t>Tredia</t>
  </si>
  <si>
    <t>52033</t>
  </si>
  <si>
    <t>Cordia</t>
  </si>
  <si>
    <t>52034</t>
  </si>
  <si>
    <t>Galant</t>
  </si>
  <si>
    <t>52035</t>
  </si>
  <si>
    <t>Mirage (1985-2002)</t>
  </si>
  <si>
    <t>52036</t>
  </si>
  <si>
    <t>Precis</t>
  </si>
  <si>
    <t>52037</t>
  </si>
  <si>
    <t>Eclipse</t>
  </si>
  <si>
    <t>52038</t>
  </si>
  <si>
    <t>Sigma</t>
  </si>
  <si>
    <t>52039</t>
  </si>
  <si>
    <t>3000 GT</t>
  </si>
  <si>
    <t>52040</t>
  </si>
  <si>
    <t>Diamante</t>
  </si>
  <si>
    <t>52041</t>
  </si>
  <si>
    <t>iMEV</t>
  </si>
  <si>
    <t>52045</t>
  </si>
  <si>
    <t>Expo Wagon</t>
  </si>
  <si>
    <t>52046</t>
  </si>
  <si>
    <t>Lancer/Lancer Sportback/Lancer Evolution</t>
  </si>
  <si>
    <t>52047</t>
  </si>
  <si>
    <t>Outlander</t>
  </si>
  <si>
    <t>52048</t>
  </si>
  <si>
    <t>Mirage (2014 on)</t>
  </si>
  <si>
    <t>52398</t>
  </si>
  <si>
    <t>52399</t>
  </si>
  <si>
    <t>52401</t>
  </si>
  <si>
    <t>Montero/MonteroSport</t>
  </si>
  <si>
    <t>52402</t>
  </si>
  <si>
    <t>Endeavor</t>
  </si>
  <si>
    <t>52441</t>
  </si>
  <si>
    <t>Mini-Van</t>
  </si>
  <si>
    <t>52471</t>
  </si>
  <si>
    <t>52472</t>
  </si>
  <si>
    <t>Raider</t>
  </si>
  <si>
    <t>52498</t>
  </si>
  <si>
    <t>52499</t>
  </si>
  <si>
    <t>52882</t>
  </si>
  <si>
    <t>52898</t>
  </si>
  <si>
    <t>52981</t>
  </si>
  <si>
    <t>52982</t>
  </si>
  <si>
    <t>52983</t>
  </si>
  <si>
    <t>52988</t>
  </si>
  <si>
    <t>52989</t>
  </si>
  <si>
    <t>52999</t>
  </si>
  <si>
    <t xml:space="preserve">Unknown (MITSUBISHI) </t>
  </si>
  <si>
    <t>53031</t>
  </si>
  <si>
    <t>Swift/SA310</t>
  </si>
  <si>
    <t>53032</t>
  </si>
  <si>
    <t>Esteem</t>
  </si>
  <si>
    <t>53033</t>
  </si>
  <si>
    <t>Aerio</t>
  </si>
  <si>
    <t>53034</t>
  </si>
  <si>
    <t>Forenza</t>
  </si>
  <si>
    <t>53035</t>
  </si>
  <si>
    <t>Verona</t>
  </si>
  <si>
    <t>53036</t>
  </si>
  <si>
    <t>Reno</t>
  </si>
  <si>
    <t>53040</t>
  </si>
  <si>
    <t>SX4/SX4 Crossover</t>
  </si>
  <si>
    <t>53041</t>
  </si>
  <si>
    <t>Kizashi</t>
  </si>
  <si>
    <t>53398</t>
  </si>
  <si>
    <t>53399</t>
  </si>
  <si>
    <t>53401</t>
  </si>
  <si>
    <t>Samurai</t>
  </si>
  <si>
    <t>53402</t>
  </si>
  <si>
    <t>Sidekick/Vitara/ Vitara V6</t>
  </si>
  <si>
    <t>53403</t>
  </si>
  <si>
    <t>X-90</t>
  </si>
  <si>
    <t>53404</t>
  </si>
  <si>
    <t>Grand Vitara (2003 on)</t>
  </si>
  <si>
    <t>53405</t>
  </si>
  <si>
    <t>XL-7 (2003 on)</t>
  </si>
  <si>
    <t>53481</t>
  </si>
  <si>
    <t>Equator</t>
  </si>
  <si>
    <t>53498</t>
  </si>
  <si>
    <t>Other (light truck)</t>
  </si>
  <si>
    <t>53499</t>
  </si>
  <si>
    <t>53701</t>
  </si>
  <si>
    <t>Motorcycle 0-50cc</t>
  </si>
  <si>
    <t>53702</t>
  </si>
  <si>
    <t>Motorcycle 51-124cc</t>
  </si>
  <si>
    <t>53703</t>
  </si>
  <si>
    <t>Motorcycle 125-349cc</t>
  </si>
  <si>
    <t>53704</t>
  </si>
  <si>
    <t>Motorcycle 350-449cc</t>
  </si>
  <si>
    <t>53705</t>
  </si>
  <si>
    <t>Motorcycle 450-749cc</t>
  </si>
  <si>
    <t>53706</t>
  </si>
  <si>
    <t>Motorcycle 750cc or greater</t>
  </si>
  <si>
    <t>53709</t>
  </si>
  <si>
    <t xml:space="preserve"> Unknown cc   </t>
  </si>
  <si>
    <t>53731</t>
  </si>
  <si>
    <t>ATV 0-50cc</t>
  </si>
  <si>
    <t>53732</t>
  </si>
  <si>
    <t>53733</t>
  </si>
  <si>
    <t>53734</t>
  </si>
  <si>
    <t>53739</t>
  </si>
  <si>
    <t>53999</t>
  </si>
  <si>
    <t>Unknown Suzuki</t>
  </si>
  <si>
    <t>54031</t>
  </si>
  <si>
    <t>Integra</t>
  </si>
  <si>
    <t>54032</t>
  </si>
  <si>
    <t>Legend</t>
  </si>
  <si>
    <t>54033</t>
  </si>
  <si>
    <t>NSX (1991-2005)</t>
  </si>
  <si>
    <t>54034</t>
  </si>
  <si>
    <t>Vigor</t>
  </si>
  <si>
    <t>54035</t>
  </si>
  <si>
    <t>TL</t>
  </si>
  <si>
    <t>54036</t>
  </si>
  <si>
    <t>RL/RLX</t>
  </si>
  <si>
    <t>54037</t>
  </si>
  <si>
    <t>CL</t>
  </si>
  <si>
    <t>54038</t>
  </si>
  <si>
    <t>RSX</t>
  </si>
  <si>
    <t>54039</t>
  </si>
  <si>
    <t>TSX</t>
  </si>
  <si>
    <t>54040</t>
  </si>
  <si>
    <t>ZDX</t>
  </si>
  <si>
    <t>54041</t>
  </si>
  <si>
    <t>ILX</t>
  </si>
  <si>
    <t>54043</t>
  </si>
  <si>
    <t>NSX (2016 on)</t>
  </si>
  <si>
    <t>54044</t>
  </si>
  <si>
    <t>TLX</t>
  </si>
  <si>
    <t>54398</t>
  </si>
  <si>
    <t>54399</t>
  </si>
  <si>
    <t>54401</t>
  </si>
  <si>
    <t>SLX</t>
  </si>
  <si>
    <t>54402</t>
  </si>
  <si>
    <t>RDX</t>
  </si>
  <si>
    <t>54421</t>
  </si>
  <si>
    <t>MDX</t>
  </si>
  <si>
    <t>54499</t>
  </si>
  <si>
    <t>54999</t>
  </si>
  <si>
    <t xml:space="preserve">Unknown (ACURA) </t>
  </si>
  <si>
    <t>55031</t>
  </si>
  <si>
    <t>Pony</t>
  </si>
  <si>
    <t>55032</t>
  </si>
  <si>
    <t>Excel</t>
  </si>
  <si>
    <t>55033</t>
  </si>
  <si>
    <t>Sonata</t>
  </si>
  <si>
    <t>55034</t>
  </si>
  <si>
    <t>Scoupe</t>
  </si>
  <si>
    <t>55035</t>
  </si>
  <si>
    <t>Elantra</t>
  </si>
  <si>
    <t>55036</t>
  </si>
  <si>
    <t>Accent</t>
  </si>
  <si>
    <t>55037</t>
  </si>
  <si>
    <t>Tiburon</t>
  </si>
  <si>
    <t>55038</t>
  </si>
  <si>
    <t>XG300 (2001)/XG350 (2002 on)</t>
  </si>
  <si>
    <t>55039</t>
  </si>
  <si>
    <t>Azera</t>
  </si>
  <si>
    <t>55040</t>
  </si>
  <si>
    <t>Equus</t>
  </si>
  <si>
    <t>55041</t>
  </si>
  <si>
    <t>Genesis</t>
  </si>
  <si>
    <t>55042</t>
  </si>
  <si>
    <t>Veloster</t>
  </si>
  <si>
    <t>55398</t>
  </si>
  <si>
    <t>55399</t>
  </si>
  <si>
    <t>55401</t>
  </si>
  <si>
    <t>Santa Fe</t>
  </si>
  <si>
    <t>55402</t>
  </si>
  <si>
    <t>Tucson</t>
  </si>
  <si>
    <t>55403</t>
  </si>
  <si>
    <t>Veracruz (2007 only)</t>
  </si>
  <si>
    <t>55421</t>
  </si>
  <si>
    <t>Veracruz (2008 on)</t>
  </si>
  <si>
    <t>55441</t>
  </si>
  <si>
    <t>Entourage</t>
  </si>
  <si>
    <t>55499</t>
  </si>
  <si>
    <t>55999</t>
  </si>
  <si>
    <t xml:space="preserve">Unknown (HYUNDAI) </t>
  </si>
  <si>
    <t>56031</t>
  </si>
  <si>
    <t>XR4Ti</t>
  </si>
  <si>
    <t>56032</t>
  </si>
  <si>
    <t>Scorpio</t>
  </si>
  <si>
    <t>56398</t>
  </si>
  <si>
    <t>56399</t>
  </si>
  <si>
    <t>57031</t>
  </si>
  <si>
    <t>GV/GVL/GVX</t>
  </si>
  <si>
    <t>58031</t>
  </si>
  <si>
    <t>M30</t>
  </si>
  <si>
    <t>58032</t>
  </si>
  <si>
    <t>Q45</t>
  </si>
  <si>
    <t>58033</t>
  </si>
  <si>
    <t>G20</t>
  </si>
  <si>
    <t>58034</t>
  </si>
  <si>
    <t>J30</t>
  </si>
  <si>
    <t>58035</t>
  </si>
  <si>
    <t>I30</t>
  </si>
  <si>
    <t>58036</t>
  </si>
  <si>
    <t>I35</t>
  </si>
  <si>
    <t>58037</t>
  </si>
  <si>
    <t>G25/G35/G37</t>
  </si>
  <si>
    <t>58038</t>
  </si>
  <si>
    <t>M35/M37/M45/M56</t>
  </si>
  <si>
    <t>58039</t>
  </si>
  <si>
    <t>FX35/FX37/FX45/FX50</t>
  </si>
  <si>
    <t>58040</t>
  </si>
  <si>
    <t>EX35</t>
  </si>
  <si>
    <t>58041</t>
  </si>
  <si>
    <t>Q50</t>
  </si>
  <si>
    <t>58042</t>
  </si>
  <si>
    <t>Q60</t>
  </si>
  <si>
    <t>58043</t>
  </si>
  <si>
    <t>Q70</t>
  </si>
  <si>
    <t>58044</t>
  </si>
  <si>
    <t>QX50</t>
  </si>
  <si>
    <t>58045</t>
  </si>
  <si>
    <t>Q40</t>
  </si>
  <si>
    <t>58398</t>
  </si>
  <si>
    <t>58399</t>
  </si>
  <si>
    <t>58401</t>
  </si>
  <si>
    <t>QX4</t>
  </si>
  <si>
    <t>58402</t>
  </si>
  <si>
    <t>JX35</t>
  </si>
  <si>
    <t>58403</t>
  </si>
  <si>
    <t>QX60</t>
  </si>
  <si>
    <t>58404</t>
  </si>
  <si>
    <t>QX70</t>
  </si>
  <si>
    <t>58421</t>
  </si>
  <si>
    <t>QX56</t>
  </si>
  <si>
    <t>58422</t>
  </si>
  <si>
    <t>QX80</t>
  </si>
  <si>
    <t>58499</t>
  </si>
  <si>
    <t>58999</t>
  </si>
  <si>
    <t xml:space="preserve">Unknown (INFINITI) </t>
  </si>
  <si>
    <t>59031</t>
  </si>
  <si>
    <t>ES-250/300/300h/330/ 350</t>
  </si>
  <si>
    <t>59032</t>
  </si>
  <si>
    <t>LS-400/430/460/L/600h/L</t>
  </si>
  <si>
    <t>59033</t>
  </si>
  <si>
    <t>SC-400/300</t>
  </si>
  <si>
    <t>59034</t>
  </si>
  <si>
    <t>GS-300/350/400/430/ 450h/460</t>
  </si>
  <si>
    <t>59035</t>
  </si>
  <si>
    <t>IS-250/300/350/500</t>
  </si>
  <si>
    <t>59036</t>
  </si>
  <si>
    <t>SC-430</t>
  </si>
  <si>
    <t>59037</t>
  </si>
  <si>
    <t>HS 250h</t>
  </si>
  <si>
    <t>59038</t>
  </si>
  <si>
    <t>CT 200h</t>
  </si>
  <si>
    <t>59039</t>
  </si>
  <si>
    <t>LFA</t>
  </si>
  <si>
    <t>59040</t>
  </si>
  <si>
    <t>RC</t>
  </si>
  <si>
    <t>59398</t>
  </si>
  <si>
    <t>59399</t>
  </si>
  <si>
    <t>59401</t>
  </si>
  <si>
    <t>RX300/350</t>
  </si>
  <si>
    <t>59402</t>
  </si>
  <si>
    <t>GX470</t>
  </si>
  <si>
    <t>59403</t>
  </si>
  <si>
    <t>RX330/350/400h/450h</t>
  </si>
  <si>
    <t>59404</t>
  </si>
  <si>
    <t>GX460</t>
  </si>
  <si>
    <t>59405</t>
  </si>
  <si>
    <t>NX</t>
  </si>
  <si>
    <t>59421</t>
  </si>
  <si>
    <t>LX450/470/570</t>
  </si>
  <si>
    <t>59499</t>
  </si>
  <si>
    <t>59999</t>
  </si>
  <si>
    <t xml:space="preserve">Unknown (LEXUS) </t>
  </si>
  <si>
    <t>60031</t>
  </si>
  <si>
    <t>Charade</t>
  </si>
  <si>
    <t>60401</t>
  </si>
  <si>
    <t>Rocky</t>
  </si>
  <si>
    <t>60999</t>
  </si>
  <si>
    <t>Unknown (DAIHATSU)</t>
  </si>
  <si>
    <t>61031</t>
  </si>
  <si>
    <t>827</t>
  </si>
  <si>
    <t>61398</t>
  </si>
  <si>
    <t>61399</t>
  </si>
  <si>
    <t>62401</t>
  </si>
  <si>
    <t>Discovery</t>
  </si>
  <si>
    <t>62402</t>
  </si>
  <si>
    <t>Defender</t>
  </si>
  <si>
    <t>62403</t>
  </si>
  <si>
    <t>Freelander (2004 on)</t>
  </si>
  <si>
    <t>62404</t>
  </si>
  <si>
    <t>Range Rover Evoque</t>
  </si>
  <si>
    <t>62405</t>
  </si>
  <si>
    <t>Discovery Sport</t>
  </si>
  <si>
    <t>62421</t>
  </si>
  <si>
    <t>Range Rover</t>
  </si>
  <si>
    <t>62422</t>
  </si>
  <si>
    <t>Freelander (2002-2003)</t>
  </si>
  <si>
    <t>62423</t>
  </si>
  <si>
    <t>LR3/LR4</t>
  </si>
  <si>
    <t>62424</t>
  </si>
  <si>
    <t>LR2</t>
  </si>
  <si>
    <t>62498</t>
  </si>
  <si>
    <t>62499</t>
  </si>
  <si>
    <t>63031</t>
  </si>
  <si>
    <t>Sephia</t>
  </si>
  <si>
    <t>63032</t>
  </si>
  <si>
    <t>Rio/Rio5</t>
  </si>
  <si>
    <t>63033</t>
  </si>
  <si>
    <t>Spectra/Spectra5</t>
  </si>
  <si>
    <t>63034</t>
  </si>
  <si>
    <t>Optima</t>
  </si>
  <si>
    <t>63035</t>
  </si>
  <si>
    <t>Amanti</t>
  </si>
  <si>
    <t>63036</t>
  </si>
  <si>
    <t>Rondo</t>
  </si>
  <si>
    <t>63037</t>
  </si>
  <si>
    <t>Soul</t>
  </si>
  <si>
    <t>63038</t>
  </si>
  <si>
    <t>Forte</t>
  </si>
  <si>
    <t>63039</t>
  </si>
  <si>
    <t>Cadenza</t>
  </si>
  <si>
    <t>63040</t>
  </si>
  <si>
    <t>K900</t>
  </si>
  <si>
    <t>63398</t>
  </si>
  <si>
    <t>63399</t>
  </si>
  <si>
    <t>63401</t>
  </si>
  <si>
    <t>Sportage</t>
  </si>
  <si>
    <t>63402</t>
  </si>
  <si>
    <t>Sorento</t>
  </si>
  <si>
    <t>63421</t>
  </si>
  <si>
    <t>Borrego</t>
  </si>
  <si>
    <t>63441</t>
  </si>
  <si>
    <t>Sedona</t>
  </si>
  <si>
    <t>63498</t>
  </si>
  <si>
    <t>63499</t>
  </si>
  <si>
    <t>63999</t>
  </si>
  <si>
    <t xml:space="preserve">Unknown (KIA) </t>
  </si>
  <si>
    <t>64031</t>
  </si>
  <si>
    <t>Lanos</t>
  </si>
  <si>
    <t>64032</t>
  </si>
  <si>
    <t>Nubira</t>
  </si>
  <si>
    <t>64033</t>
  </si>
  <si>
    <t>Leganza</t>
  </si>
  <si>
    <t>64398</t>
  </si>
  <si>
    <t>64399</t>
  </si>
  <si>
    <t>65031</t>
  </si>
  <si>
    <t>Fortwo</t>
  </si>
  <si>
    <t>65398</t>
  </si>
  <si>
    <t>65399</t>
  </si>
  <si>
    <t>67031</t>
  </si>
  <si>
    <t>xB (2012 on)</t>
  </si>
  <si>
    <t>67032</t>
  </si>
  <si>
    <t>tC (2012 on)</t>
  </si>
  <si>
    <t>67033</t>
  </si>
  <si>
    <t>xD (2012 on)</t>
  </si>
  <si>
    <t>67034</t>
  </si>
  <si>
    <t>iQ (2012 on)</t>
  </si>
  <si>
    <t>67035</t>
  </si>
  <si>
    <t>FR-S</t>
  </si>
  <si>
    <t>67398</t>
  </si>
  <si>
    <t>67399</t>
  </si>
  <si>
    <t>69031</t>
  </si>
  <si>
    <t>Aston Martin</t>
  </si>
  <si>
    <t>69032</t>
  </si>
  <si>
    <t>Bricklin</t>
  </si>
  <si>
    <t>69033</t>
  </si>
  <si>
    <t>Citroen</t>
  </si>
  <si>
    <t>69034</t>
  </si>
  <si>
    <t>DeLorean</t>
  </si>
  <si>
    <t>69035</t>
  </si>
  <si>
    <t>Ferrari</t>
  </si>
  <si>
    <t>69036</t>
  </si>
  <si>
    <t>Hillman</t>
  </si>
  <si>
    <t>69037</t>
  </si>
  <si>
    <t>Jensen</t>
  </si>
  <si>
    <t>69038</t>
  </si>
  <si>
    <t xml:space="preserve">Lamborghini </t>
  </si>
  <si>
    <t>69039</t>
  </si>
  <si>
    <t>Lotus</t>
  </si>
  <si>
    <t>69040</t>
  </si>
  <si>
    <t>Maserati</t>
  </si>
  <si>
    <t>69041</t>
  </si>
  <si>
    <t>Morris</t>
  </si>
  <si>
    <t>69042</t>
  </si>
  <si>
    <t>Rolls Royce/Bentley</t>
  </si>
  <si>
    <t>69044</t>
  </si>
  <si>
    <t>Simca</t>
  </si>
  <si>
    <t>69045</t>
  </si>
  <si>
    <t>Sunbeam</t>
  </si>
  <si>
    <t>69046</t>
  </si>
  <si>
    <t>TVR</t>
  </si>
  <si>
    <t>69048</t>
  </si>
  <si>
    <t>Desta</t>
  </si>
  <si>
    <t>69049</t>
  </si>
  <si>
    <t>Reliant</t>
  </si>
  <si>
    <t>69052</t>
  </si>
  <si>
    <t>Bertone</t>
  </si>
  <si>
    <t>69053</t>
  </si>
  <si>
    <t>Lada</t>
  </si>
  <si>
    <t>69054</t>
  </si>
  <si>
    <t>Mini-Cooper</t>
  </si>
  <si>
    <t>69055</t>
  </si>
  <si>
    <t>Morgan (2003 on; Prior to 2003 see 398)</t>
  </si>
  <si>
    <t>69056</t>
  </si>
  <si>
    <t>Maybach</t>
  </si>
  <si>
    <t>69057</t>
  </si>
  <si>
    <t>Spyker</t>
  </si>
  <si>
    <t>69058</t>
  </si>
  <si>
    <t>Koenigsegg</t>
  </si>
  <si>
    <t>69061</t>
  </si>
  <si>
    <t>Mahindra</t>
  </si>
  <si>
    <t>69062</t>
  </si>
  <si>
    <t>Caterham</t>
  </si>
  <si>
    <t>69063</t>
  </si>
  <si>
    <t>McLaren</t>
  </si>
  <si>
    <t>69064</t>
  </si>
  <si>
    <t>Bugatti</t>
  </si>
  <si>
    <t>69398</t>
  </si>
  <si>
    <t>Other (automotive)</t>
  </si>
  <si>
    <t>69399</t>
  </si>
  <si>
    <t xml:space="preserve">Unknown Make  </t>
  </si>
  <si>
    <t>70701</t>
  </si>
  <si>
    <t>70702</t>
  </si>
  <si>
    <t>70703</t>
  </si>
  <si>
    <t>70704</t>
  </si>
  <si>
    <t>70705</t>
  </si>
  <si>
    <t>70706</t>
  </si>
  <si>
    <t>70709</t>
  </si>
  <si>
    <t>71701</t>
  </si>
  <si>
    <t>71702</t>
  </si>
  <si>
    <t>71703</t>
  </si>
  <si>
    <t>71704</t>
  </si>
  <si>
    <t>71705</t>
  </si>
  <si>
    <t>71706</t>
  </si>
  <si>
    <t>71709</t>
  </si>
  <si>
    <t>72701</t>
  </si>
  <si>
    <t>72702</t>
  </si>
  <si>
    <t>72703</t>
  </si>
  <si>
    <t>72704</t>
  </si>
  <si>
    <t>72705</t>
  </si>
  <si>
    <t>72706</t>
  </si>
  <si>
    <t>72709</t>
  </si>
  <si>
    <t>73701</t>
  </si>
  <si>
    <t>73702</t>
  </si>
  <si>
    <t>73703</t>
  </si>
  <si>
    <t>73704</t>
  </si>
  <si>
    <t>73705</t>
  </si>
  <si>
    <t>73706</t>
  </si>
  <si>
    <t>73709</t>
  </si>
  <si>
    <t>73731</t>
  </si>
  <si>
    <t>73732</t>
  </si>
  <si>
    <t>73733</t>
  </si>
  <si>
    <t>73734</t>
  </si>
  <si>
    <t>73739</t>
  </si>
  <si>
    <t>73998</t>
  </si>
  <si>
    <t>Other (Vehicle)</t>
  </si>
  <si>
    <t>74704</t>
  </si>
  <si>
    <t>74705</t>
  </si>
  <si>
    <t>74706</t>
  </si>
  <si>
    <t>74709</t>
  </si>
  <si>
    <t>75704</t>
  </si>
  <si>
    <t>75705</t>
  </si>
  <si>
    <t>75706</t>
  </si>
  <si>
    <t>75709</t>
  </si>
  <si>
    <t>76701</t>
  </si>
  <si>
    <t>76702</t>
  </si>
  <si>
    <t>76703</t>
  </si>
  <si>
    <t>76704</t>
  </si>
  <si>
    <t>76705</t>
  </si>
  <si>
    <t>76706</t>
  </si>
  <si>
    <t>76709</t>
  </si>
  <si>
    <t>76731</t>
  </si>
  <si>
    <t>76732</t>
  </si>
  <si>
    <t>76733</t>
  </si>
  <si>
    <t>76734</t>
  </si>
  <si>
    <t>76739</t>
  </si>
  <si>
    <t>76998</t>
  </si>
  <si>
    <t>77706</t>
  </si>
  <si>
    <t>77709</t>
  </si>
  <si>
    <t>77998</t>
  </si>
  <si>
    <t>80850</t>
  </si>
  <si>
    <t>80881</t>
  </si>
  <si>
    <t>80882</t>
  </si>
  <si>
    <t>80883</t>
  </si>
  <si>
    <t>80884</t>
  </si>
  <si>
    <t>80890</t>
  </si>
  <si>
    <t>80898</t>
  </si>
  <si>
    <t>80981</t>
  </si>
  <si>
    <t>80982</t>
  </si>
  <si>
    <t>80983</t>
  </si>
  <si>
    <t>80988</t>
  </si>
  <si>
    <t>80989</t>
  </si>
  <si>
    <t>80998</t>
  </si>
  <si>
    <t>80999</t>
  </si>
  <si>
    <t>Unknown (BROCKWAY)</t>
  </si>
  <si>
    <t>81850</t>
  </si>
  <si>
    <t>81881</t>
  </si>
  <si>
    <t>81882</t>
  </si>
  <si>
    <t>81883</t>
  </si>
  <si>
    <t>81884</t>
  </si>
  <si>
    <t>81890</t>
  </si>
  <si>
    <t>81898</t>
  </si>
  <si>
    <t>81981</t>
  </si>
  <si>
    <t>81982</t>
  </si>
  <si>
    <t>81983</t>
  </si>
  <si>
    <t>81988</t>
  </si>
  <si>
    <t>81989</t>
  </si>
  <si>
    <t>81998</t>
  </si>
  <si>
    <t>81999</t>
  </si>
  <si>
    <t>Unknown (DIAMOND REO or REO)</t>
  </si>
  <si>
    <t>82461</t>
  </si>
  <si>
    <t>Sprinter/Advantage</t>
  </si>
  <si>
    <t>82462</t>
  </si>
  <si>
    <t>MT 35 Chassis</t>
  </si>
  <si>
    <t>82498</t>
  </si>
  <si>
    <t>82499</t>
  </si>
  <si>
    <t>82850</t>
  </si>
  <si>
    <t>82870</t>
  </si>
  <si>
    <t>Medium Heavy Van-Based Vehicle</t>
  </si>
  <si>
    <t>82881</t>
  </si>
  <si>
    <t>82882</t>
  </si>
  <si>
    <t>82883</t>
  </si>
  <si>
    <t>82884</t>
  </si>
  <si>
    <t>82890</t>
  </si>
  <si>
    <t>82898</t>
  </si>
  <si>
    <t>82981</t>
  </si>
  <si>
    <t>82982</t>
  </si>
  <si>
    <t>82983</t>
  </si>
  <si>
    <t>82988</t>
  </si>
  <si>
    <t>82989</t>
  </si>
  <si>
    <t>82998</t>
  </si>
  <si>
    <t>82999</t>
  </si>
  <si>
    <t xml:space="preserve">Unknown (FREIGHTLINER)   </t>
  </si>
  <si>
    <t>83850</t>
  </si>
  <si>
    <t>83881</t>
  </si>
  <si>
    <t>83882</t>
  </si>
  <si>
    <t>83883</t>
  </si>
  <si>
    <t>83884</t>
  </si>
  <si>
    <t>83890</t>
  </si>
  <si>
    <t>83898</t>
  </si>
  <si>
    <t>83981</t>
  </si>
  <si>
    <t>83982</t>
  </si>
  <si>
    <t>83983</t>
  </si>
  <si>
    <t>83988</t>
  </si>
  <si>
    <t>83989</t>
  </si>
  <si>
    <t>83998</t>
  </si>
  <si>
    <t>83999</t>
  </si>
  <si>
    <t xml:space="preserve">Unknown (FWD) </t>
  </si>
  <si>
    <t>84421</t>
  </si>
  <si>
    <t>Scout</t>
  </si>
  <si>
    <t>84431</t>
  </si>
  <si>
    <t>Travelall</t>
  </si>
  <si>
    <t>84466</t>
  </si>
  <si>
    <t>Multistop Van</t>
  </si>
  <si>
    <t>84481</t>
  </si>
  <si>
    <t>84498</t>
  </si>
  <si>
    <t>84499</t>
  </si>
  <si>
    <t>84850</t>
  </si>
  <si>
    <t>84881</t>
  </si>
  <si>
    <t>84882</t>
  </si>
  <si>
    <t>84883</t>
  </si>
  <si>
    <t>84884</t>
  </si>
  <si>
    <t>84890</t>
  </si>
  <si>
    <t>84898</t>
  </si>
  <si>
    <t xml:space="preserve">Other (medium/heavy  truck) </t>
  </si>
  <si>
    <t>84981</t>
  </si>
  <si>
    <t>84982</t>
  </si>
  <si>
    <t>84983</t>
  </si>
  <si>
    <t>84988</t>
  </si>
  <si>
    <t>84989</t>
  </si>
  <si>
    <t>84998</t>
  </si>
  <si>
    <t>84999</t>
  </si>
  <si>
    <t xml:space="preserve">Unknown (INTL. HARVESTER/ NAVISTAR) </t>
  </si>
  <si>
    <t>85850</t>
  </si>
  <si>
    <t>85881</t>
  </si>
  <si>
    <t>85882</t>
  </si>
  <si>
    <t>85883</t>
  </si>
  <si>
    <t>85884</t>
  </si>
  <si>
    <t>85890</t>
  </si>
  <si>
    <t>85898</t>
  </si>
  <si>
    <t>85981</t>
  </si>
  <si>
    <t>85982</t>
  </si>
  <si>
    <t>85983</t>
  </si>
  <si>
    <t>85988</t>
  </si>
  <si>
    <t>85989</t>
  </si>
  <si>
    <t>85998</t>
  </si>
  <si>
    <t>85999</t>
  </si>
  <si>
    <t xml:space="preserve">Unknown (KENWORTH) </t>
  </si>
  <si>
    <t>86850</t>
  </si>
  <si>
    <t>86881</t>
  </si>
  <si>
    <t>86882</t>
  </si>
  <si>
    <t>86883</t>
  </si>
  <si>
    <t>86884</t>
  </si>
  <si>
    <t>86890</t>
  </si>
  <si>
    <t>86898</t>
  </si>
  <si>
    <t>86981</t>
  </si>
  <si>
    <t>86982</t>
  </si>
  <si>
    <t>86983</t>
  </si>
  <si>
    <t>86988</t>
  </si>
  <si>
    <t>86989</t>
  </si>
  <si>
    <t>86998</t>
  </si>
  <si>
    <t>86999</t>
  </si>
  <si>
    <t xml:space="preserve">Unknown (MACK) </t>
  </si>
  <si>
    <t>87850</t>
  </si>
  <si>
    <t>87881</t>
  </si>
  <si>
    <t>87882</t>
  </si>
  <si>
    <t>87883</t>
  </si>
  <si>
    <t>87884</t>
  </si>
  <si>
    <t>87890</t>
  </si>
  <si>
    <t>87898</t>
  </si>
  <si>
    <t>87981</t>
  </si>
  <si>
    <t>87982</t>
  </si>
  <si>
    <t>87983</t>
  </si>
  <si>
    <t>87988</t>
  </si>
  <si>
    <t>87989</t>
  </si>
  <si>
    <t>87998</t>
  </si>
  <si>
    <t>87999</t>
  </si>
  <si>
    <t xml:space="preserve">Unknown (PETERBILT) </t>
  </si>
  <si>
    <t>88850</t>
  </si>
  <si>
    <t>88881</t>
  </si>
  <si>
    <t>88882</t>
  </si>
  <si>
    <t>88883</t>
  </si>
  <si>
    <t>88884</t>
  </si>
  <si>
    <t>88890</t>
  </si>
  <si>
    <t>88898</t>
  </si>
  <si>
    <t>88981</t>
  </si>
  <si>
    <t>88982</t>
  </si>
  <si>
    <t>88983</t>
  </si>
  <si>
    <t>88988</t>
  </si>
  <si>
    <t>88989</t>
  </si>
  <si>
    <t>88998</t>
  </si>
  <si>
    <t>88999</t>
  </si>
  <si>
    <t>Unknown (IVECO/MAGIRUS)</t>
  </si>
  <si>
    <t>89850</t>
  </si>
  <si>
    <t>89881</t>
  </si>
  <si>
    <t>89882</t>
  </si>
  <si>
    <t>89883</t>
  </si>
  <si>
    <t>89884</t>
  </si>
  <si>
    <t>89890</t>
  </si>
  <si>
    <t>89898</t>
  </si>
  <si>
    <t>89981</t>
  </si>
  <si>
    <t>89982</t>
  </si>
  <si>
    <t>89983</t>
  </si>
  <si>
    <t>89988</t>
  </si>
  <si>
    <t>89989</t>
  </si>
  <si>
    <t>89998</t>
  </si>
  <si>
    <t>89999</t>
  </si>
  <si>
    <t>Unknown (WHITE/AUTOCAR-WHITE/GMC)</t>
  </si>
  <si>
    <t>90461</t>
  </si>
  <si>
    <t>Van Based</t>
  </si>
  <si>
    <t>90981</t>
  </si>
  <si>
    <t>90982</t>
  </si>
  <si>
    <t>90983</t>
  </si>
  <si>
    <t>90988</t>
  </si>
  <si>
    <t xml:space="preserve">Other (bus)  Other (bus) </t>
  </si>
  <si>
    <t>90989</t>
  </si>
  <si>
    <t>90999</t>
  </si>
  <si>
    <t>Unknown (BLUEBIRD)</t>
  </si>
  <si>
    <t>91981</t>
  </si>
  <si>
    <t>91982</t>
  </si>
  <si>
    <t>91983</t>
  </si>
  <si>
    <t>92981</t>
  </si>
  <si>
    <t>92982</t>
  </si>
  <si>
    <t>92983</t>
  </si>
  <si>
    <t>92988</t>
  </si>
  <si>
    <t>92989</t>
  </si>
  <si>
    <t>93981</t>
  </si>
  <si>
    <t>93982</t>
  </si>
  <si>
    <t>93983</t>
  </si>
  <si>
    <t>93988</t>
  </si>
  <si>
    <t>93989</t>
  </si>
  <si>
    <t>94461</t>
  </si>
  <si>
    <t>94981</t>
  </si>
  <si>
    <t>94982</t>
  </si>
  <si>
    <t>94983</t>
  </si>
  <si>
    <t>94988</t>
  </si>
  <si>
    <t>94989</t>
  </si>
  <si>
    <t xml:space="preserve">LIGHT TRUCKS  Unknown (bus) </t>
  </si>
  <si>
    <t>94999</t>
  </si>
  <si>
    <t xml:space="preserve">Unknown (THOMAS BUILT)   </t>
  </si>
  <si>
    <t>98301</t>
  </si>
  <si>
    <t>Think</t>
  </si>
  <si>
    <t>98302</t>
  </si>
  <si>
    <t>Meyers Motor</t>
  </si>
  <si>
    <t>98398</t>
  </si>
  <si>
    <t>98498</t>
  </si>
  <si>
    <t>98598</t>
  </si>
  <si>
    <t>Other (LSV/NEV)</t>
  </si>
  <si>
    <t>98701</t>
  </si>
  <si>
    <t>98702</t>
  </si>
  <si>
    <t>98703</t>
  </si>
  <si>
    <t>98704</t>
  </si>
  <si>
    <t>98705</t>
  </si>
  <si>
    <t xml:space="preserve">450-749cc </t>
  </si>
  <si>
    <t>98706</t>
  </si>
  <si>
    <t xml:space="preserve">750cc or greater </t>
  </si>
  <si>
    <t>98709</t>
  </si>
  <si>
    <t>98731</t>
  </si>
  <si>
    <t>98732</t>
  </si>
  <si>
    <t>98733</t>
  </si>
  <si>
    <t xml:space="preserve">125-349cc </t>
  </si>
  <si>
    <t>98734</t>
  </si>
  <si>
    <t xml:space="preserve">350cc or greater </t>
  </si>
  <si>
    <t>98739</t>
  </si>
  <si>
    <t>98802</t>
  </si>
  <si>
    <t xml:space="preserve">Auto-Union-DKW </t>
  </si>
  <si>
    <t>98803</t>
  </si>
  <si>
    <t xml:space="preserve">Divco </t>
  </si>
  <si>
    <t>98804</t>
  </si>
  <si>
    <t xml:space="preserve">Western Star </t>
  </si>
  <si>
    <t>98805</t>
  </si>
  <si>
    <t xml:space="preserve">Oshkosh </t>
  </si>
  <si>
    <t>98806</t>
  </si>
  <si>
    <t xml:space="preserve">Hino </t>
  </si>
  <si>
    <t>98807</t>
  </si>
  <si>
    <t xml:space="preserve">Scania </t>
  </si>
  <si>
    <t>98808</t>
  </si>
  <si>
    <t>UD</t>
  </si>
  <si>
    <t>98809</t>
  </si>
  <si>
    <t xml:space="preserve">Sterling </t>
  </si>
  <si>
    <t>98850</t>
  </si>
  <si>
    <t xml:space="preserve">Motor Home </t>
  </si>
  <si>
    <t>98870</t>
  </si>
  <si>
    <t>Medium/Heavy Van- Based Vehicle</t>
  </si>
  <si>
    <t>98881</t>
  </si>
  <si>
    <t xml:space="preserve">Medium/Heavy Â­ CBE </t>
  </si>
  <si>
    <t>98882</t>
  </si>
  <si>
    <t xml:space="preserve">Medium/Heavy Â­ COE  low entry </t>
  </si>
  <si>
    <t>98883</t>
  </si>
  <si>
    <t xml:space="preserve">Medium/Heavy Â­ COE  high entry </t>
  </si>
  <si>
    <t>98884</t>
  </si>
  <si>
    <t>Medium/Heavy Â­ Unknown engine  location</t>
  </si>
  <si>
    <t>98890</t>
  </si>
  <si>
    <t>98898</t>
  </si>
  <si>
    <t>Other (medium/heavy e.g., Marmon, Ward LaFrance truck)**</t>
  </si>
  <si>
    <t>98902</t>
  </si>
  <si>
    <t xml:space="preserve">Neoplan   </t>
  </si>
  <si>
    <t>98903</t>
  </si>
  <si>
    <t xml:space="preserve">Carpenter   </t>
  </si>
  <si>
    <t>98904</t>
  </si>
  <si>
    <t xml:space="preserve">Collins Bus   </t>
  </si>
  <si>
    <t>98905</t>
  </si>
  <si>
    <t xml:space="preserve">DINA   </t>
  </si>
  <si>
    <t>98906</t>
  </si>
  <si>
    <t xml:space="preserve">Mid Bus   </t>
  </si>
  <si>
    <t>98907</t>
  </si>
  <si>
    <t xml:space="preserve">Orion </t>
  </si>
  <si>
    <t>98908</t>
  </si>
  <si>
    <t xml:space="preserve">Van Hool </t>
  </si>
  <si>
    <t>98981</t>
  </si>
  <si>
    <t>Bus***: Conventional (Engine out front)</t>
  </si>
  <si>
    <t>98982</t>
  </si>
  <si>
    <t>98983</t>
  </si>
  <si>
    <t>98988</t>
  </si>
  <si>
    <t>98998</t>
  </si>
  <si>
    <t>98999</t>
  </si>
  <si>
    <t>Unknown (OTHER MAKE)</t>
  </si>
  <si>
    <t>99399</t>
  </si>
  <si>
    <t>99499</t>
  </si>
  <si>
    <t xml:space="preserve">Unknown (light truck)    </t>
  </si>
  <si>
    <t>99599</t>
  </si>
  <si>
    <t>Unknown (LSV/NEV)</t>
  </si>
  <si>
    <t>99701</t>
  </si>
  <si>
    <t>99702</t>
  </si>
  <si>
    <t>99703</t>
  </si>
  <si>
    <t>99704</t>
  </si>
  <si>
    <t>99705</t>
  </si>
  <si>
    <t>99706</t>
  </si>
  <si>
    <t>99709</t>
  </si>
  <si>
    <t>99731</t>
  </si>
  <si>
    <t xml:space="preserve">0-50cc   </t>
  </si>
  <si>
    <t>99732</t>
  </si>
  <si>
    <t xml:space="preserve">51-124cc   </t>
  </si>
  <si>
    <t>99733</t>
  </si>
  <si>
    <t xml:space="preserve">125-349cc  </t>
  </si>
  <si>
    <t>99734</t>
  </si>
  <si>
    <t xml:space="preserve">350cc or greater  </t>
  </si>
  <si>
    <t>99739</t>
  </si>
  <si>
    <t xml:space="preserve">Unknown cc  </t>
  </si>
  <si>
    <t>99850</t>
  </si>
  <si>
    <t>99870</t>
  </si>
  <si>
    <t>Medium Heavy Van- Based Vehicle</t>
  </si>
  <si>
    <t>99881</t>
  </si>
  <si>
    <t xml:space="preserve">Medium/Heavy Â­ CBE   </t>
  </si>
  <si>
    <t>99882</t>
  </si>
  <si>
    <t>Medium/Heavy Â­ COE  low entry</t>
  </si>
  <si>
    <t>99883</t>
  </si>
  <si>
    <t>Medium/Heavy Â­ COE  high entry</t>
  </si>
  <si>
    <t>99884</t>
  </si>
  <si>
    <t>99890</t>
  </si>
  <si>
    <t>99898</t>
  </si>
  <si>
    <t xml:space="preserve">Other (medium/heavy truck) </t>
  </si>
  <si>
    <t>99981</t>
  </si>
  <si>
    <t>Bus**: Conventional (Engine out front)</t>
  </si>
  <si>
    <t>99982</t>
  </si>
  <si>
    <t xml:space="preserve">Bus: Front engine. Flat front </t>
  </si>
  <si>
    <t>99983</t>
  </si>
  <si>
    <t xml:space="preserve">Bus: Rear engine, Flat front </t>
  </si>
  <si>
    <t>99988</t>
  </si>
  <si>
    <t>99989</t>
  </si>
  <si>
    <t>99997</t>
  </si>
  <si>
    <t>99998</t>
  </si>
  <si>
    <t>99999</t>
  </si>
  <si>
    <t>Unknown (as to automobile, motored cycle, light truck or truck)</t>
  </si>
  <si>
    <t>MSA of 1 million or more, with rail</t>
  </si>
  <si>
    <t>MSA of 1 million or more, and not in 1</t>
  </si>
  <si>
    <t>MSA less than 1 million</t>
  </si>
  <si>
    <t>Not in MSA</t>
  </si>
  <si>
    <t>In an MSA of Less than 250,000</t>
  </si>
  <si>
    <t>In an MSA of 250,000 - 499,999</t>
  </si>
  <si>
    <t>In an MSA of 500,000 - 999,999</t>
  </si>
  <si>
    <t>In an MSA or CMSA of 1,000,000 - 2,999,999</t>
  </si>
  <si>
    <t>In an MSA or CMSA of 3 million or more</t>
  </si>
  <si>
    <t>Not in MSA or CMSA</t>
  </si>
  <si>
    <t>Sales or service</t>
  </si>
  <si>
    <t>Clerical or administrative support</t>
  </si>
  <si>
    <t>Manufacturing, construction, maintenance, or farming</t>
  </si>
  <si>
    <t>Professional, managerial, or technical</t>
  </si>
  <si>
    <t xml:space="preserve">Never </t>
  </si>
  <si>
    <t>[$HE_SHE_CAP2] rarely or never [$DO_DOES2] any physical activity</t>
  </si>
  <si>
    <t>[$HE_SHE_CAP2] [$DO_DOES2] some light or moderate physical activities</t>
  </si>
  <si>
    <t>[$HE_SHE_CAP2] [$DO_DOES2] some vigorous physical activities</t>
  </si>
  <si>
    <t>Working</t>
  </si>
  <si>
    <t>Temporarily absent from a job or business</t>
  </si>
  <si>
    <t>Looking for work / unemployed</t>
  </si>
  <si>
    <t>A homemaker</t>
  </si>
  <si>
    <t>Going to school</t>
  </si>
  <si>
    <t>Retired</t>
  </si>
  <si>
    <t>Self-report</t>
  </si>
  <si>
    <t>Proxy-report</t>
  </si>
  <si>
    <t>It went where [$HE_SHE] needed to go</t>
  </si>
  <si>
    <t>It was available when [$HE_SHE] needed to travel</t>
  </si>
  <si>
    <t>Parking at destination was too expensive</t>
  </si>
  <si>
    <t>It was faster than driving</t>
  </si>
  <si>
    <t>[$HE_SHE_CAP] could work on other things while traveling</t>
  </si>
  <si>
    <t>It was less stressful than driving</t>
  </si>
  <si>
    <t>No car available</t>
  </si>
  <si>
    <t>American Indian or Alaska native</t>
  </si>
  <si>
    <t>Native Hawaiian or other Pacific islander</t>
  </si>
  <si>
    <t>MSA has rail</t>
  </si>
  <si>
    <t>MSA does not have rail, or hh not in an MSA</t>
  </si>
  <si>
    <t>Mail</t>
  </si>
  <si>
    <t>CATI</t>
  </si>
  <si>
    <t>Web</t>
  </si>
  <si>
    <t>Yes, Hispanic or Latino</t>
  </si>
  <si>
    <t>No, Not Hispanic or Latino</t>
  </si>
  <si>
    <t>Self</t>
  </si>
  <si>
    <t>Spouse/Unmarried partner</t>
  </si>
  <si>
    <t>Child</t>
  </si>
  <si>
    <t>Parent</t>
  </si>
  <si>
    <t>Brother/Sister</t>
  </si>
  <si>
    <t>Other relative</t>
  </si>
  <si>
    <t>Non-relative</t>
  </si>
  <si>
    <t xml:space="preserve">Male </t>
  </si>
  <si>
    <t xml:space="preserve">Female </t>
  </si>
  <si>
    <t>Personally sick</t>
  </si>
  <si>
    <t>Vacation or personal day</t>
  </si>
  <si>
    <t>Caretaking</t>
  </si>
  <si>
    <t xml:space="preserve">Disabled or home-bound  </t>
  </si>
  <si>
    <t>Worked at home (for pay)</t>
  </si>
  <si>
    <t>Not scheduled to work</t>
  </si>
  <si>
    <t>Worked around home (not for pay)</t>
  </si>
  <si>
    <t>Bad weather</t>
  </si>
  <si>
    <t>Out of country</t>
  </si>
  <si>
    <t>No transportation available</t>
  </si>
  <si>
    <t>No longer a household resident</t>
  </si>
  <si>
    <t>National</t>
  </si>
  <si>
    <t>Arizona Department of Transportation</t>
  </si>
  <si>
    <t>California Department of Transportation</t>
  </si>
  <si>
    <t>Des Moines Metropolitan Planning Organization</t>
  </si>
  <si>
    <t>Georgia Department of Transportation</t>
  </si>
  <si>
    <t>Iowa Northlands Regional Council of Governments</t>
  </si>
  <si>
    <t>Maryland State Highway Administration</t>
  </si>
  <si>
    <t>North Carolina Department of Transportation</t>
  </si>
  <si>
    <t>North Central Texas Council of Governments</t>
  </si>
  <si>
    <t>New York State Department of Transportation</t>
  </si>
  <si>
    <t>South Carolina Department of Transportation</t>
  </si>
  <si>
    <t>Texas Department of Transportation</t>
  </si>
  <si>
    <t>Wisconsin Department of Transportation</t>
  </si>
  <si>
    <t>County in MSA with &gt;= 1M and Heavy Rail</t>
  </si>
  <si>
    <t>County in MSA with &gt;= 1M and no Heavy Rail</t>
  </si>
  <si>
    <t>County in MSA with &lt; 1M</t>
  </si>
  <si>
    <t>County not in MSA</t>
  </si>
  <si>
    <t>Car</t>
  </si>
  <si>
    <t>SUV</t>
  </si>
  <si>
    <t>Pickup truck</t>
  </si>
  <si>
    <t>Golf cart / Segway</t>
  </si>
  <si>
    <t>Motorcycle / Moped</t>
  </si>
  <si>
    <t>RV (motor home, ATV, snowmobile)</t>
  </si>
  <si>
    <t>School bus</t>
  </si>
  <si>
    <t>Public or Commuter bus</t>
  </si>
  <si>
    <t>Paratransit / Dial-a-ride</t>
  </si>
  <si>
    <t>Private / Charter / Tour / Shuttle bus</t>
  </si>
  <si>
    <t>City-to-city bus (Greyhound, Megabus)</t>
  </si>
  <si>
    <t>Amtrak / Commuter rail</t>
  </si>
  <si>
    <t>Subway / Elevated / Light rail / Street car</t>
  </si>
  <si>
    <t>Taxi / Limo (including Uber / Lyft)</t>
  </si>
  <si>
    <t>Rental car (Including Zipcar / Car2Go)</t>
  </si>
  <si>
    <t>Airplane</t>
  </si>
  <si>
    <t>Boat / Ferry / Water taxi</t>
  </si>
  <si>
    <t xml:space="preserve">Public or private school </t>
  </si>
  <si>
    <t>Home schooled</t>
  </si>
  <si>
    <t>Not in school</t>
  </si>
  <si>
    <t>North Central Texas Council of Governments and Texas Department of Transportation</t>
  </si>
  <si>
    <t xml:space="preserve">Bicycle </t>
  </si>
  <si>
    <t xml:space="preserve">Van </t>
  </si>
  <si>
    <t xml:space="preserve">Pickup truck </t>
  </si>
  <si>
    <t xml:space="preserve">Golf cart / Segway </t>
  </si>
  <si>
    <t xml:space="preserve">Motorcycle / Moped </t>
  </si>
  <si>
    <t xml:space="preserve">RV (motor home, ATV, snowmobile) </t>
  </si>
  <si>
    <t xml:space="preserve">School bus </t>
  </si>
  <si>
    <t xml:space="preserve">Public or commuter bus </t>
  </si>
  <si>
    <t xml:space="preserve">Private / Charter / Tour / Shuttle bus </t>
  </si>
  <si>
    <t xml:space="preserve">Subway / Elevated / Light rail / Street car </t>
  </si>
  <si>
    <t xml:space="preserve">Taxi / Limo (including Uber / Lyft) </t>
  </si>
  <si>
    <t xml:space="preserve">Airplane </t>
  </si>
  <si>
    <t xml:space="preserve">Something Else </t>
  </si>
  <si>
    <t>Sunday</t>
  </si>
  <si>
    <t>Monday</t>
  </si>
  <si>
    <t>Tuesday</t>
  </si>
  <si>
    <t>Wednesday</t>
  </si>
  <si>
    <t>Thursday</t>
  </si>
  <si>
    <t>Friday</t>
  </si>
  <si>
    <t>Saturday</t>
  </si>
  <si>
    <t xml:space="preserve">Car </t>
  </si>
  <si>
    <t>NHB</t>
  </si>
  <si>
    <t>Not a home-based trip</t>
  </si>
  <si>
    <t>HBSHOP</t>
  </si>
  <si>
    <t>Home-based trip (shopping)</t>
  </si>
  <si>
    <t>HBSOCREC</t>
  </si>
  <si>
    <t>Home-based trip (social/recreational)</t>
  </si>
  <si>
    <t>HBO</t>
  </si>
  <si>
    <t>Home-based trip (other)</t>
  </si>
  <si>
    <t>HBW</t>
  </si>
  <si>
    <t>Home-based trip (work)</t>
  </si>
  <si>
    <t xml:space="preserve">Paratransit / Dial-a-ride </t>
  </si>
  <si>
    <t>Subway / elevated / light rail / street car</t>
  </si>
  <si>
    <t>Taxi / limo (including Uber / Lyft)</t>
  </si>
  <si>
    <t xml:space="preserve">Boat / ferry / water taxi </t>
  </si>
  <si>
    <t>In an urban area</t>
  </si>
  <si>
    <t>In an Urban cluster</t>
  </si>
  <si>
    <t>In an area surrounded by urban areas</t>
  </si>
  <si>
    <t>Not in urban area</t>
  </si>
  <si>
    <t>50,000 - 199,999</t>
  </si>
  <si>
    <t>200,000 - 499,999</t>
  </si>
  <si>
    <t>500,000 - 999,999</t>
  </si>
  <si>
    <t>1 million or more without heavy rail</t>
  </si>
  <si>
    <t>1 million or more with heavy rail</t>
  </si>
  <si>
    <t>Not in an urbanized area</t>
  </si>
  <si>
    <t>Urban</t>
  </si>
  <si>
    <t>Rural</t>
  </si>
  <si>
    <t>[$VEHNAME:R1]</t>
  </si>
  <si>
    <t>[$VEHNAME:R2]</t>
  </si>
  <si>
    <t>[$VEHNAME:R3]</t>
  </si>
  <si>
    <t>[$VEHNAME:R4]</t>
  </si>
  <si>
    <t>[$VEHNAME:R5]</t>
  </si>
  <si>
    <t>[$VEHNAME:R6]</t>
  </si>
  <si>
    <t>[$VEHNAME:R7]</t>
  </si>
  <si>
    <t>[$VEHNAME:R8]</t>
  </si>
  <si>
    <t>[$VEHNAME:R9]</t>
  </si>
  <si>
    <t>[$VEHNAME:R10]</t>
  </si>
  <si>
    <t>[$VEHNAME:R11]</t>
  </si>
  <si>
    <t>[$VEHNAME:R12]</t>
  </si>
  <si>
    <t>Non-Household vehicle</t>
  </si>
  <si>
    <t>More than 20,000 miles</t>
  </si>
  <si>
    <t>Automobile/Car/Station Wagon</t>
  </si>
  <si>
    <t>Van (Mini/Cargo/Passenger)</t>
  </si>
  <si>
    <t>SUV (Santa Fe, Tahoe, Jeep, etc.)</t>
  </si>
  <si>
    <t>Pickup Truck</t>
  </si>
  <si>
    <t>Other Truck</t>
  </si>
  <si>
    <t>RV (Recreational Vehicle)</t>
  </si>
  <si>
    <t>Motorcycle/Motorbike</t>
  </si>
  <si>
    <t xml:space="preserve">Neither Agreeor Disagree </t>
  </si>
  <si>
    <t>Street crossings are unsafe</t>
  </si>
  <si>
    <t>A few times a month</t>
  </si>
  <si>
    <t>A few times a year</t>
  </si>
  <si>
    <t xml:space="preserve">[$FNAME:R1] </t>
  </si>
  <si>
    <t>Someone else</t>
  </si>
  <si>
    <t>1. Regular home activities (chores, sleep)</t>
  </si>
  <si>
    <t>2. Work from home (paid)</t>
  </si>
  <si>
    <t xml:space="preserve">3. Work </t>
  </si>
  <si>
    <t>4. Work-related meeting / trip</t>
  </si>
  <si>
    <t>5. Volunteer activities (not paid)</t>
  </si>
  <si>
    <t>6. Drop off /pick up someone</t>
  </si>
  <si>
    <t>7. Change type of transportation</t>
  </si>
  <si>
    <t>8. Attend school as a student</t>
  </si>
  <si>
    <t>9. Attend child care</t>
  </si>
  <si>
    <t xml:space="preserve">10. Attend adult care </t>
  </si>
  <si>
    <t>11. Buy goods (groceries, clothes, appliances, gas)</t>
  </si>
  <si>
    <t>12. Buy services (dry cleaners, banking, service a car, pet care)</t>
  </si>
  <si>
    <t>13. Buy meals (go out for a meal, snack, carry-out)</t>
  </si>
  <si>
    <t>14. Other general errands (post office, library)</t>
  </si>
  <si>
    <t>15. Recreational activities (visit parks, movies, bars, museums)</t>
  </si>
  <si>
    <t>16. Exercise (go for a jog, walk, walk the dog, go to the gym)</t>
  </si>
  <si>
    <t>17. Visit friends or relatives</t>
  </si>
  <si>
    <t>18. Health care visit (medical, dental, therapy)</t>
  </si>
  <si>
    <t>19. Religious or other community activities</t>
  </si>
  <si>
    <t>Home</t>
  </si>
  <si>
    <t xml:space="preserve">School/Daycare/Religious activity </t>
  </si>
  <si>
    <t xml:space="preserve">Medical/Dental services </t>
  </si>
  <si>
    <t xml:space="preserve">Shopping/Errands </t>
  </si>
  <si>
    <t xml:space="preserve">Social/Recreational </t>
  </si>
  <si>
    <t>Family personal business/Obligations</t>
  </si>
  <si>
    <t xml:space="preserve">Transport someone </t>
  </si>
  <si>
    <t>Meals</t>
  </si>
  <si>
    <t xml:space="preserve">To/From Work </t>
  </si>
  <si>
    <t xml:space="preserve">Work-Related Business 	</t>
  </si>
  <si>
    <t xml:space="preserve">Shopping </t>
  </si>
  <si>
    <t>Other Family/Personal Business</t>
  </si>
  <si>
    <t xml:space="preserve">School/Church </t>
  </si>
  <si>
    <t xml:space="preserve">Medical/Dentral </t>
  </si>
  <si>
    <t xml:space="preserve">Visit Friends/Relatives </t>
  </si>
  <si>
    <t xml:space="preserve">Other Social/Recreational </t>
  </si>
  <si>
    <t>Refused / Don't Know</t>
  </si>
  <si>
    <t>Blocks</t>
  </si>
  <si>
    <t>Miles</t>
  </si>
  <si>
    <t>Full-time</t>
  </si>
  <si>
    <t>Part-time</t>
  </si>
  <si>
    <t xml:space="preserve">City-to-city bus (Greyhound, Megabus) </t>
  </si>
  <si>
    <t>Less than 5 years ago</t>
  </si>
  <si>
    <t>5 to 10 years ago</t>
  </si>
  <si>
    <t>More than 10 years ago</t>
  </si>
  <si>
    <t>DESCRIPTION</t>
  </si>
  <si>
    <t>KEY VARIABLES</t>
  </si>
  <si>
    <t>MERGE RELATIONSHIPS</t>
  </si>
  <si>
    <t>A record in this table represents a household unit that had all of its residents aged 5+ complete all portions of the survey.</t>
  </si>
  <si>
    <t>PERSON (HOUSEID) 
VEHICLE (HOUSEID) 
TRIP (HOUSEID) 
LOCATION (HOUSEID)</t>
  </si>
  <si>
    <t>A record in this table represents an individual household member. Households were instructed to list all persons living in the household. Persons were ordered by the household member that initially responded to the survey invitation.</t>
  </si>
  <si>
    <t>HOUSEID, PERSONID</t>
  </si>
  <si>
    <t>HOUSEHOLD (HOUSEID) 
VEHICLE (HOUSEID, PERSONID = WHOMAIN) 
TRIP (HOUSEID, PERSONID) 
TRIP (HOUSEID, PERSONID = WHODROVE) 
LOCATION (HOUSEID, PERSONID)</t>
  </si>
  <si>
    <t>A record in this table represents a household vehicle. Participants were asked to list any vehicle that a household person owned, leased or had available for regular use, including motorcycles, mopeds and RVs.</t>
  </si>
  <si>
    <t>HOUSEID, VEHID</t>
  </si>
  <si>
    <t>HOUSEHOLD (HOUSEID) 
PERSON (HOUSEID, WHOMAIN = PERSONID) 
TRIP (HOUSEID, VEHID) 
LOCATION (HOUSEID)</t>
  </si>
  <si>
    <t>A record in this table represents a trip that was reported individually by a household person for the household's instructed travel date. For the travel day survey portion, participants were asked to report all locations they went to from 4am to 3:59am the next day, regardless of how long they were there, including trips that may have started and ended at the same location, like walk or bicycle trips for exercise.</t>
  </si>
  <si>
    <t>HOUSEID, PERSONID, TDTRPNUM</t>
  </si>
  <si>
    <t>HOUSEHOLD (HOUSEID) 
PERSON (HOUSEID, PERSONID) 
PERSON (HOUSEID, WHODROVE = PERSONID) 
VEHICLE (HOUSEID, VEHID) 
LOCATION (HOUSEID, LOCNO)</t>
  </si>
  <si>
    <t>A record in this table represents a place location reported at any level of the household. Every household has a home location record. Every person that is a student or worker has a location record. Every trip has a location record.</t>
  </si>
  <si>
    <t>HOUSEID, LOCNO</t>
  </si>
  <si>
    <t>HOUSEHOLD (HOUSEID) 
PERSON (HOUSEID, PERSONID) 
TRIP (HOUSEID, LOCNO)</t>
  </si>
  <si>
    <t>HOUSEHOLD_WEIGHTS_7DAY</t>
  </si>
  <si>
    <t>This table contains the weights and related factors required for generating household level population estimates.</t>
  </si>
  <si>
    <t>HOUSEHOLD (HOUSEID)</t>
  </si>
  <si>
    <t>PERSON_WEIGHTS_7DAY</t>
  </si>
  <si>
    <t>This table contains the weights and related factors required for generating person level population estimates.</t>
  </si>
  <si>
    <t>PERSON (HOUSEID, PERSONID)</t>
  </si>
  <si>
    <t>HOUSEHOLD_WEIGHTS_5DAY</t>
  </si>
  <si>
    <t>This table contains the weights and related factors required for generating weekday household level population estimates.</t>
  </si>
  <si>
    <t>PERSON_WEIGHTS_5DAY</t>
  </si>
  <si>
    <t>This table contains the weights and related factors required for generating weekday person level population estimates.</t>
  </si>
  <si>
    <t>Tables</t>
  </si>
  <si>
    <t>TABLE NAME</t>
  </si>
  <si>
    <t>GEOGADJCELL</t>
  </si>
  <si>
    <t>Geographic adjustment cell for all weighting stages</t>
  </si>
  <si>
    <t>HH_5D_RAKETRIMFAC</t>
  </si>
  <si>
    <t>Rake-trim final factor</t>
  </si>
  <si>
    <t>HOLIDAY5D_FLAG</t>
  </si>
  <si>
    <t>Holiday flag used in five-day weighting and analysis</t>
  </si>
  <si>
    <t>Household identifier</t>
  </si>
  <si>
    <t>JKCOEFS</t>
  </si>
  <si>
    <t>Jackknife coefficients for variance estimation</t>
  </si>
  <si>
    <t>NHTSBWT0</t>
  </si>
  <si>
    <t>Sample base weight</t>
  </si>
  <si>
    <t>POSTTRIM5D_FLAG</t>
  </si>
  <si>
    <t>Post-rake trimmed-weight flag</t>
  </si>
  <si>
    <t>PRETRIM5D_FLAG</t>
  </si>
  <si>
    <t>Pre-rake trimmed-weight flag</t>
  </si>
  <si>
    <t>PRETRIMHH5D_FAC</t>
  </si>
  <si>
    <t>Pre-rake trimmed factor</t>
  </si>
  <si>
    <t>RECFACTOR</t>
  </si>
  <si>
    <t>Recruitment nonresponse adjusted factor</t>
  </si>
  <si>
    <t>RETFACTOR</t>
  </si>
  <si>
    <t>Retrieval nonresponse adjusted factor</t>
  </si>
  <si>
    <t>UEFACTOR_F</t>
  </si>
  <si>
    <t>Unknown eligibility adjustment factor, always 1</t>
  </si>
  <si>
    <t>VARSTRAT</t>
  </si>
  <si>
    <t>Stratum for Taylor series estimation</t>
  </si>
  <si>
    <t>VARUNIT</t>
  </si>
  <si>
    <t>Variance unit for Taylor series estimation (cluster)</t>
  </si>
  <si>
    <t>WTHHFIN5D</t>
  </si>
  <si>
    <t>Final five-day household weight</t>
  </si>
  <si>
    <t>WTHHFIN5D*</t>
  </si>
  <si>
    <t>Final five-day household weight replicates, 1 through 98</t>
  </si>
  <si>
    <t>HH_7D_RAKETRIMFAC</t>
  </si>
  <si>
    <t>POSTTRIM7D_FLAG</t>
  </si>
  <si>
    <t>PRETRIM7D_FLAG</t>
  </si>
  <si>
    <t>PRETRIMHH7D_FAC</t>
  </si>
  <si>
    <t>WTHHFIN</t>
  </si>
  <si>
    <t>Final household weight</t>
  </si>
  <si>
    <t>WTHHFIN*</t>
  </si>
  <si>
    <t>Final household weight replicates, 1 through 98</t>
  </si>
  <si>
    <t>Person identifier</t>
  </si>
  <si>
    <t>PPOSTTRIM5D_FLAG</t>
  </si>
  <si>
    <t>PPRETRIM5D_FLAG</t>
  </si>
  <si>
    <t>PRETRIMPP5D_FAC</t>
  </si>
  <si>
    <t>PS_5D_RAKETRIMFAC</t>
  </si>
  <si>
    <t>WTPERFIN5D</t>
  </si>
  <si>
    <t>Final five-day person weight</t>
  </si>
  <si>
    <t>WTPERFIN5D*</t>
  </si>
  <si>
    <t>Final five-day person weight replicates, 1 through 98</t>
  </si>
  <si>
    <t>WTTRDFIN5D</t>
  </si>
  <si>
    <t>Final five-day trip weight</t>
  </si>
  <si>
    <t>WTTRDFIN5D*</t>
  </si>
  <si>
    <t>Final five-day trip weight replicates, 1 through 98</t>
  </si>
  <si>
    <t>PPOSTTRIM7D_FLAG</t>
  </si>
  <si>
    <t>PPRETRIM7D_FLAG</t>
  </si>
  <si>
    <t>PRETRIMPP7D_FAC</t>
  </si>
  <si>
    <t>PS_7D_RAKETRIMFAC</t>
  </si>
  <si>
    <t>WTPERFIN</t>
  </si>
  <si>
    <t>Final person weight</t>
  </si>
  <si>
    <t>WTPERFIN*</t>
  </si>
  <si>
    <t>Final person weight replicates, 1 through 98</t>
  </si>
  <si>
    <t>WTTRDFIN</t>
  </si>
  <si>
    <t>Final trip weight</t>
  </si>
  <si>
    <t>WTTRDFIN*</t>
  </si>
  <si>
    <t>Final trip weight replicates, 1 through 98</t>
  </si>
  <si>
    <t>Variables</t>
  </si>
  <si>
    <t>Sample Size</t>
  </si>
  <si>
    <t>Estimate</t>
  </si>
  <si>
    <t>SE</t>
  </si>
  <si>
    <t>Estimate (%)</t>
  </si>
  <si>
    <t>SE (%)</t>
  </si>
  <si>
    <t>-</t>
  </si>
  <si>
    <t>Responses</t>
  </si>
  <si>
    <t>Total</t>
  </si>
  <si>
    <t>1</t>
  </si>
  <si>
    <t>3</t>
  </si>
  <si>
    <t>2</t>
  </si>
  <si>
    <t>4</t>
  </si>
  <si>
    <t>5</t>
  </si>
  <si>
    <t>6</t>
  </si>
  <si>
    <t>7</t>
  </si>
  <si>
    <t>8</t>
  </si>
  <si>
    <t>9</t>
  </si>
  <si>
    <t>108</t>
  </si>
  <si>
    <t>79</t>
  </si>
  <si>
    <t>US/CENTRAL</t>
  </si>
  <si>
    <t>OWN HOME, RENT LOT</t>
  </si>
  <si>
    <t>LIVE WITH RELATIVE/ FRIEND/ PARTNER</t>
  </si>
  <si>
    <t>PROVIDED BY EMPLOYER</t>
  </si>
  <si>
    <t>SMART TV</t>
  </si>
  <si>
    <t>TELEPHONE</t>
  </si>
  <si>
    <t>GAME DEVICE</t>
  </si>
  <si>
    <t>SAMSUNG GALAXY</t>
  </si>
  <si>
    <t>IPAD</t>
  </si>
  <si>
    <t>SMART WATCH</t>
  </si>
  <si>
    <t>CELL PHONE</t>
  </si>
  <si>
    <t>PORTABLE MEDIA DEVICES</t>
  </si>
  <si>
    <t>TV MEDIA BOX</t>
  </si>
  <si>
    <t>SAMSUNG CELLPHONE</t>
  </si>
  <si>
    <t>DON'T HAVE A COMPUTER</t>
  </si>
  <si>
    <t>WORK COMPUTERS</t>
  </si>
  <si>
    <t>KINDLE</t>
  </si>
  <si>
    <t>LIBRARY</t>
  </si>
  <si>
    <t>NO INTERNET</t>
  </si>
  <si>
    <t>TV</t>
  </si>
  <si>
    <t>INTERNET ACCESS LOCATIONS</t>
  </si>
  <si>
    <t>CAN'T SEE</t>
  </si>
  <si>
    <t>computerized telephone</t>
  </si>
  <si>
    <t>I DON'T USE A COMPUTER</t>
  </si>
  <si>
    <t>NEVER USED INTERNET</t>
  </si>
  <si>
    <t>LIBRARY COMPUTER</t>
  </si>
  <si>
    <t>GPS DEVICE</t>
  </si>
  <si>
    <t>NO COMPUTER</t>
  </si>
  <si>
    <t>LAND LINE</t>
  </si>
  <si>
    <t>66</t>
  </si>
  <si>
    <t>OK</t>
  </si>
  <si>
    <t>IA</t>
  </si>
  <si>
    <t>201608</t>
  </si>
  <si>
    <t>201701</t>
  </si>
  <si>
    <t>201605</t>
  </si>
  <si>
    <t>201703</t>
  </si>
  <si>
    <t>201612</t>
  </si>
  <si>
    <t>201607</t>
  </si>
  <si>
    <t>201610</t>
  </si>
  <si>
    <t>201609</t>
  </si>
  <si>
    <t>201611</t>
  </si>
  <si>
    <t>201606</t>
  </si>
  <si>
    <t>201702</t>
  </si>
  <si>
    <t>201704</t>
  </si>
  <si>
    <t>201604</t>
  </si>
  <si>
    <t>231.3</t>
  </si>
  <si>
    <t>237.2</t>
  </si>
  <si>
    <t>230.6</t>
  </si>
  <si>
    <t>226.9</t>
  </si>
  <si>
    <t>216.5</t>
  </si>
  <si>
    <t>220.2</t>
  </si>
  <si>
    <t>213.1</t>
  </si>
  <si>
    <t>208.7</t>
  </si>
  <si>
    <t>227.9</t>
  </si>
  <si>
    <t>230.2</t>
  </si>
  <si>
    <t>237.0</t>
  </si>
  <si>
    <t>255.4</t>
  </si>
  <si>
    <t>225.5</t>
  </si>
  <si>
    <t>225.9</t>
  </si>
  <si>
    <t>230.1</t>
  </si>
  <si>
    <t>236.5</t>
  </si>
  <si>
    <t>226.6</t>
  </si>
  <si>
    <t>220.4</t>
  </si>
  <si>
    <t>224.2</t>
  </si>
  <si>
    <t>217.4</t>
  </si>
  <si>
    <t>220.1</t>
  </si>
  <si>
    <t>245.8</t>
  </si>
  <si>
    <t>223.6</t>
  </si>
  <si>
    <t>245.4</t>
  </si>
  <si>
    <t>222.2</t>
  </si>
  <si>
    <t>243.1</t>
  </si>
  <si>
    <t>235.8</t>
  </si>
  <si>
    <t>224.3</t>
  </si>
  <si>
    <t>225.4</t>
  </si>
  <si>
    <t>249.5</t>
  </si>
  <si>
    <t>220.8</t>
  </si>
  <si>
    <t>216.4</t>
  </si>
  <si>
    <t>226.3</t>
  </si>
  <si>
    <t>224.4</t>
  </si>
  <si>
    <t>224.7</t>
  </si>
  <si>
    <t>243.5</t>
  </si>
  <si>
    <t>227.6</t>
  </si>
  <si>
    <t>237.8</t>
  </si>
  <si>
    <t>229.7</t>
  </si>
  <si>
    <t>210.8</t>
  </si>
  <si>
    <t>242.5</t>
  </si>
  <si>
    <t>228.4</t>
  </si>
  <si>
    <t>216.6</t>
  </si>
  <si>
    <t>243.3</t>
  </si>
  <si>
    <t>218.1</t>
  </si>
  <si>
    <t>219.8</t>
  </si>
  <si>
    <t>XXXXX</t>
  </si>
  <si>
    <t>68</t>
  </si>
  <si>
    <t>78</t>
  </si>
  <si>
    <t>96</t>
  </si>
  <si>
    <t>PASSENGER OF UNKNOWN MODE</t>
  </si>
  <si>
    <t>NO TRAVEL NECESSARY</t>
  </si>
  <si>
    <t>COMPANY VEHICLE</t>
  </si>
  <si>
    <t>145</t>
  </si>
  <si>
    <t>225</t>
  </si>
  <si>
    <t>180</t>
  </si>
  <si>
    <t>00</t>
  </si>
  <si>
    <t>AM</t>
  </si>
  <si>
    <t>PM</t>
  </si>
  <si>
    <t>2008</t>
  </si>
  <si>
    <t>2002</t>
  </si>
  <si>
    <t>1998</t>
  </si>
  <si>
    <t>2013</t>
  </si>
  <si>
    <t>2010</t>
  </si>
  <si>
    <t>2009</t>
  </si>
  <si>
    <t>2006</t>
  </si>
  <si>
    <t>1962</t>
  </si>
  <si>
    <t>1996</t>
  </si>
  <si>
    <t>2014</t>
  </si>
  <si>
    <t>1988</t>
  </si>
  <si>
    <t>2000</t>
  </si>
  <si>
    <t>1989</t>
  </si>
  <si>
    <t>1965</t>
  </si>
  <si>
    <t>2012</t>
  </si>
  <si>
    <t>1985</t>
  </si>
  <si>
    <t>1961</t>
  </si>
  <si>
    <t>1982</t>
  </si>
  <si>
    <t>1999</t>
  </si>
  <si>
    <t>1970</t>
  </si>
  <si>
    <t>1986</t>
  </si>
  <si>
    <t>1992</t>
  </si>
  <si>
    <t>1980</t>
  </si>
  <si>
    <t>1953</t>
  </si>
  <si>
    <t>1968</t>
  </si>
  <si>
    <t>1976</t>
  </si>
  <si>
    <t>1979</t>
  </si>
  <si>
    <t>1951</t>
  </si>
  <si>
    <t>1990</t>
  </si>
  <si>
    <t>1954</t>
  </si>
  <si>
    <t>1974</t>
  </si>
  <si>
    <t>2003</t>
  </si>
  <si>
    <t>1983</t>
  </si>
  <si>
    <t>1978</t>
  </si>
  <si>
    <t>1972</t>
  </si>
  <si>
    <t>1952</t>
  </si>
  <si>
    <t>1959</t>
  </si>
  <si>
    <t>1977</t>
  </si>
  <si>
    <t>1967</t>
  </si>
  <si>
    <t>1971</t>
  </si>
  <si>
    <t>1991</t>
  </si>
  <si>
    <t>1975</t>
  </si>
  <si>
    <t>NO NEED, REASON, DESIRE, OR PLACE TO TRAVEL TO</t>
  </si>
  <si>
    <t>RETIRED</t>
  </si>
  <si>
    <t>INCLEMENT WEATHER</t>
  </si>
  <si>
    <t>UNEMPLOYED</t>
  </si>
  <si>
    <t>FINANCIAL REASON</t>
  </si>
  <si>
    <t>HOSTING GUESTS</t>
  </si>
  <si>
    <t>WAITING ON GOOD OR SERVICE</t>
  </si>
  <si>
    <t>MULTIRACIAL</t>
  </si>
  <si>
    <t>MEXICAN</t>
  </si>
  <si>
    <t>INDIAN</t>
  </si>
  <si>
    <t>ALGERIAN</t>
  </si>
  <si>
    <t>MIDDLE EASTERN</t>
  </si>
  <si>
    <t>AFRICAN AMERICAN, WHITE</t>
  </si>
  <si>
    <t>LATINO, WHITE</t>
  </si>
  <si>
    <t>HISPANIC</t>
  </si>
  <si>
    <t>COLOMBIAN</t>
  </si>
  <si>
    <t>ASIAN, WHITE</t>
  </si>
  <si>
    <t>IBERIAN</t>
  </si>
  <si>
    <t>KNEE SCOOTER</t>
  </si>
  <si>
    <t>BRACE</t>
  </si>
  <si>
    <t>RESPIRATORY ASSISTANCE</t>
  </si>
  <si>
    <t>PROSTHESIS</t>
  </si>
  <si>
    <t>2007</t>
  </si>
  <si>
    <t>2015</t>
  </si>
  <si>
    <t>2011</t>
  </si>
  <si>
    <t>2016</t>
  </si>
  <si>
    <t>2004</t>
  </si>
  <si>
    <t>2005</t>
  </si>
  <si>
    <t>1997</t>
  </si>
  <si>
    <t>1994</t>
  </si>
  <si>
    <t>1995</t>
  </si>
  <si>
    <t>1993</t>
  </si>
  <si>
    <t>2017</t>
  </si>
  <si>
    <t>1981</t>
  </si>
  <si>
    <t>1969</t>
  </si>
  <si>
    <t>1973</t>
  </si>
  <si>
    <t>1984</t>
  </si>
  <si>
    <t>1964</t>
  </si>
  <si>
    <t>1987</t>
  </si>
  <si>
    <t>1957</t>
  </si>
  <si>
    <t>1955</t>
  </si>
  <si>
    <t>1960</t>
  </si>
  <si>
    <t>1930</t>
  </si>
  <si>
    <t>1958</t>
  </si>
  <si>
    <t>1938</t>
  </si>
  <si>
    <t>1956</t>
  </si>
  <si>
    <t>gas and flex fuel</t>
  </si>
  <si>
    <t>Natural gas/gasoline</t>
  </si>
  <si>
    <t>CNG</t>
  </si>
  <si>
    <t>non ethynol</t>
  </si>
  <si>
    <t>ATV/UTV</t>
  </si>
  <si>
    <t>Natural Gas and Gasoline</t>
  </si>
  <si>
    <t>1000000</t>
  </si>
  <si>
    <t>1000001</t>
  </si>
  <si>
    <t>102</t>
  </si>
  <si>
    <t>1000002</t>
  </si>
  <si>
    <t>202</t>
  </si>
  <si>
    <t>1000003</t>
  </si>
  <si>
    <t>1000004</t>
  </si>
  <si>
    <t>303</t>
  </si>
  <si>
    <t>1000005</t>
  </si>
  <si>
    <t>302</t>
  </si>
  <si>
    <t>203</t>
  </si>
  <si>
    <t>1000006</t>
  </si>
  <si>
    <t>1000007</t>
  </si>
  <si>
    <t>503</t>
  </si>
  <si>
    <t>402</t>
  </si>
  <si>
    <t>1000008</t>
  </si>
  <si>
    <t>502</t>
  </si>
  <si>
    <t>1000009</t>
  </si>
  <si>
    <t>602</t>
  </si>
  <si>
    <t>1000010</t>
  </si>
  <si>
    <t>1000012</t>
  </si>
  <si>
    <t>603</t>
  </si>
  <si>
    <t>703</t>
  </si>
  <si>
    <t>1000011</t>
  </si>
  <si>
    <t>1000016</t>
  </si>
  <si>
    <t>1000013</t>
  </si>
  <si>
    <t>1000024</t>
  </si>
  <si>
    <t>1000015</t>
  </si>
  <si>
    <t>1000025</t>
  </si>
  <si>
    <t>1000026</t>
  </si>
  <si>
    <t>1000014</t>
  </si>
  <si>
    <t>702</t>
  </si>
  <si>
    <t>0.5</t>
  </si>
  <si>
    <t>1.5</t>
  </si>
  <si>
    <t>0.333</t>
  </si>
  <si>
    <t>2.70624399234206</t>
  </si>
  <si>
    <t>4.5</t>
  </si>
  <si>
    <t>2.5</t>
  </si>
  <si>
    <t>0.75</t>
  </si>
  <si>
    <t>3.5</t>
  </si>
  <si>
    <t>0.125</t>
  </si>
  <si>
    <t>0.1</t>
  </si>
  <si>
    <t>0.616774292153889</t>
  </si>
  <si>
    <t>3.9</t>
  </si>
  <si>
    <t>10.7033039110329</t>
  </si>
  <si>
    <t>0.50</t>
  </si>
  <si>
    <t>2.09</t>
  </si>
  <si>
    <t>3.0231828241203</t>
  </si>
  <si>
    <t>0.0189394</t>
  </si>
  <si>
    <t>TRUCK</t>
  </si>
  <si>
    <t>BOX TRUCK</t>
  </si>
  <si>
    <t>WHEELCHAIR/MOBILITY SCOOTER</t>
  </si>
  <si>
    <t>emergency vehicle</t>
  </si>
  <si>
    <t>SEMI TRUCK</t>
  </si>
  <si>
    <t>accompany companion</t>
  </si>
  <si>
    <t>UNEXPECTED DISRUPTION</t>
  </si>
  <si>
    <t>NO MODE - DIRECT PICK UP</t>
  </si>
  <si>
    <t>WHEELCHAIR</t>
  </si>
  <si>
    <t>AL</t>
  </si>
  <si>
    <t>AR</t>
  </si>
  <si>
    <t>CA</t>
  </si>
  <si>
    <t>CO</t>
  </si>
  <si>
    <t>FL</t>
  </si>
  <si>
    <t>GA</t>
  </si>
  <si>
    <t>IL</t>
  </si>
  <si>
    <t>IN</t>
  </si>
  <si>
    <t>KS</t>
  </si>
  <si>
    <t>KY</t>
  </si>
  <si>
    <t>LA</t>
  </si>
  <si>
    <t>MD</t>
  </si>
  <si>
    <t>MN</t>
  </si>
  <si>
    <t>MO</t>
  </si>
  <si>
    <t>MS</t>
  </si>
  <si>
    <t>NC</t>
  </si>
  <si>
    <t>NV</t>
  </si>
  <si>
    <t>NY</t>
  </si>
  <si>
    <t>PA</t>
  </si>
  <si>
    <t>TN</t>
  </si>
  <si>
    <t>TX</t>
  </si>
  <si>
    <t>UT</t>
  </si>
  <si>
    <t>VA</t>
  </si>
  <si>
    <t>UNITED KINGDOM</t>
  </si>
  <si>
    <t>USA</t>
  </si>
  <si>
    <t>003</t>
  </si>
  <si>
    <t>005</t>
  </si>
  <si>
    <t>007</t>
  </si>
  <si>
    <t>009</t>
  </si>
  <si>
    <t>011</t>
  </si>
  <si>
    <t>017</t>
  </si>
  <si>
    <t>019</t>
  </si>
  <si>
    <t>021</t>
  </si>
  <si>
    <t>027</t>
  </si>
  <si>
    <t>029</t>
  </si>
  <si>
    <t>031</t>
  </si>
  <si>
    <t>033</t>
  </si>
  <si>
    <t>035</t>
  </si>
  <si>
    <t>037</t>
  </si>
  <si>
    <t>039</t>
  </si>
  <si>
    <t>041</t>
  </si>
  <si>
    <t>047</t>
  </si>
  <si>
    <t>055</t>
  </si>
  <si>
    <t>057</t>
  </si>
  <si>
    <t>059</t>
  </si>
  <si>
    <t>061</t>
  </si>
  <si>
    <t>067</t>
  </si>
  <si>
    <t>069</t>
  </si>
  <si>
    <t>077</t>
  </si>
  <si>
    <t>079</t>
  </si>
  <si>
    <t>081</t>
  </si>
  <si>
    <t>085</t>
  </si>
  <si>
    <t>089</t>
  </si>
  <si>
    <t>091</t>
  </si>
  <si>
    <t>095</t>
  </si>
  <si>
    <t>097</t>
  </si>
  <si>
    <t>101</t>
  </si>
  <si>
    <t>105</t>
  </si>
  <si>
    <t>107</t>
  </si>
  <si>
    <t>109</t>
  </si>
  <si>
    <t>111</t>
  </si>
  <si>
    <t>113</t>
  </si>
  <si>
    <t>115</t>
  </si>
  <si>
    <t>117</t>
  </si>
  <si>
    <t>119</t>
  </si>
  <si>
    <t>121</t>
  </si>
  <si>
    <t>123</t>
  </si>
  <si>
    <t>125</t>
  </si>
  <si>
    <t>127</t>
  </si>
  <si>
    <t>131</t>
  </si>
  <si>
    <t>135</t>
  </si>
  <si>
    <t>143</t>
  </si>
  <si>
    <t>147</t>
  </si>
  <si>
    <t>149</t>
  </si>
  <si>
    <t>151</t>
  </si>
  <si>
    <t>167</t>
  </si>
  <si>
    <t>181</t>
  </si>
  <si>
    <t>183</t>
  </si>
  <si>
    <t>191</t>
  </si>
  <si>
    <t>201</t>
  </si>
  <si>
    <t>209</t>
  </si>
  <si>
    <t>213</t>
  </si>
  <si>
    <t>375</t>
  </si>
  <si>
    <t>381</t>
  </si>
  <si>
    <t>401</t>
  </si>
  <si>
    <t>540</t>
  </si>
  <si>
    <t>36820</t>
  </si>
  <si>
    <t>160</t>
  </si>
  <si>
    <t>162</t>
  </si>
  <si>
    <t>206</t>
  </si>
  <si>
    <t>216</t>
  </si>
  <si>
    <t>222</t>
  </si>
  <si>
    <t>268</t>
  </si>
  <si>
    <t>288</t>
  </si>
  <si>
    <t>290</t>
  </si>
  <si>
    <t>294</t>
  </si>
  <si>
    <t>309</t>
  </si>
  <si>
    <t>312</t>
  </si>
  <si>
    <t>318</t>
  </si>
  <si>
    <t>332</t>
  </si>
  <si>
    <t>340</t>
  </si>
  <si>
    <t>346</t>
  </si>
  <si>
    <t>348</t>
  </si>
  <si>
    <t>358</t>
  </si>
  <si>
    <t>378</t>
  </si>
  <si>
    <t>408</t>
  </si>
  <si>
    <t>416</t>
  </si>
  <si>
    <t>472</t>
  </si>
  <si>
    <t>482</t>
  </si>
  <si>
    <t>520</t>
  </si>
  <si>
    <t>538</t>
  </si>
  <si>
    <t>548</t>
  </si>
  <si>
    <t>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</si>
</sst>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rgb="FF000000"/>
      <name val="Calibri"/>
      <family val="2"/>
      <scheme val="minor"/>
    </font>
    <font>
      <b/>
      <sz val="9"/>
      <color rgb="FFFFFFFF"/>
      <name val="Calibri"/>
    </font>
    <font>
      <sz val="9"/>
      <color rgb="FF000000"/>
      <name val="Calibri"/>
    </font>
    <font>
      <b/>
      <sz val="9"/>
      <color rgb="FF000000"/>
      <name val="Calibri"/>
    </font>
    <font>
      <u/>
      <sz val="9"/>
      <color rgb="FF0000FF"/>
      <name val="Calibri"/>
    </font>
    <font>
      <b/>
      <sz val="11"/>
      <color rgb="FF000000"/>
      <name val="Calibri"/>
    </font>
    <font>
      <b/>
      <sz val="10"/>
      <color rgb="FF000000"/>
      <name val="Calibri"/>
    </font>
  </fonts>
  <fills count="7">
    <fill>
      <patternFill patternType="none"/>
    </fill>
    <fill>
      <patternFill patternType="gray125"/>
    </fill>
    <fill>
      <patternFill patternType="solid">
        <fgColor rgb="FF00008B"/>
      </patternFill>
    </fill>
    <fill>
      <patternFill patternType="solid">
        <fgColor rgb="FFFFFFE0"/>
      </patternFill>
    </fill>
    <fill>
      <patternFill patternType="solid">
        <fgColor rgb="FF6495ED"/>
      </patternFill>
    </fill>
    <fill>
      <patternFill patternType="solid">
        <fgColor rgb="FFFFFFFF"/>
      </patternFill>
    </fill>
    <fill>
      <patternFill patternType="solid">
        <fgColor rgb="FFE5E5E5"/>
      </patternFill>
    </fill>
  </fills>
  <borders count="1">
    <border>
      <left/>
      <right/>
      <top/>
      <bottom/>
      <diagonal/>
    </border>
  </borders>
  <cellStyleXfs count="1">
    <xf numFmtId="0" fontId="0" fillId="0" borderId="0"/>
  </cellStyleXfs>
  <cellXfs count="3452">
    <xf numFmtId="0" fontId="0" fillId="0" borderId="0" xfId="0"/>
    <xf numFmtId="0" fontId="1" fillId="2" borderId="0" xfId="0" applyFont="1" applyFill="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right" vertical="top" wrapText="1"/>
    </xf>
    <xf numFmtId="0" fontId="2" fillId="5" borderId="0" xfId="0" applyFont="1" applyFill="1"/>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0" fontId="2" fillId="6" borderId="0" xfId="0" applyFont="1" applyFill="1"/>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wrapText="1"/>
    </xf>
    <xf numFmtId="0" fontId="0" fillId="0" borderId="0" xfId="0"/>
    <xf numFmtId="0" fontId="6"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3"/>
  <sheetViews>
    <sheetView tabSelected="1" workbookViewId="0">
      <pane ySplit="1" topLeftCell="A2" activePane="bottomLeft" state="frozen"/>
      <selection pane="bottomLeft"/>
    </sheetView>
  </sheetViews>
  <sheetFormatPr defaultRowHeight="14.4" x14ac:dyDescent="0.3"/>
  <cols>
    <col min="1" max="1" width="13.6640625" customWidth="1"/>
    <col min="2" max="3" width="34.6640625" customWidth="1"/>
    <col min="4" max="11" width="13.6640625" customWidth="1"/>
    <col min="12" max="12" width="42.6640625" customWidth="1"/>
  </cols>
  <sheetData>
    <row r="1" spans="1:12" ht="30" customHeight="1" x14ac:dyDescent="0.3">
      <c r="A1" s="1" t="s">
        <v>0</v>
      </c>
      <c r="B1" s="1" t="s">
        <v>1</v>
      </c>
      <c r="C1" s="1" t="s">
        <v>2</v>
      </c>
      <c r="D1" s="1" t="s">
        <v>3</v>
      </c>
      <c r="E1" s="1" t="s">
        <v>4</v>
      </c>
      <c r="F1" s="1" t="s">
        <v>5</v>
      </c>
      <c r="G1" s="1" t="s">
        <v>6</v>
      </c>
      <c r="H1" s="1" t="s">
        <v>7</v>
      </c>
      <c r="I1" s="1" t="s">
        <v>8</v>
      </c>
      <c r="J1" s="1" t="s">
        <v>9</v>
      </c>
      <c r="K1" s="1" t="s">
        <v>10</v>
      </c>
      <c r="L1" s="1" t="s">
        <v>11</v>
      </c>
    </row>
    <row r="2" spans="1:12" ht="49.95" customHeight="1" x14ac:dyDescent="0.3">
      <c r="A2" s="3" t="s">
        <v>12</v>
      </c>
      <c r="B2" s="2" t="s">
        <v>13</v>
      </c>
      <c r="C2" s="2" t="s">
        <v>14</v>
      </c>
      <c r="D2" s="2" t="s">
        <v>15</v>
      </c>
      <c r="E2" s="4" t="str">
        <f>IF(ISERROR("AGERANGE"),"",HYPERLINK("#INDEX('Value Lookup'!A:A,MATCH(A" &amp; ROW() &amp; ",'Value Lookup'!A:A,0))","Value Lookup"))</f>
        <v>Value Lookup</v>
      </c>
      <c r="F2" s="4" t="str">
        <f>IF(ISERROR("AGERANGE"),"",HYPERLINK("#INDEX('Frequencies'!A:A,MATCH(A" &amp; ROW() &amp; ",'Frequencies'!A:A,0))","Frequencies"))</f>
        <v>Frequencies</v>
      </c>
      <c r="G2" s="2"/>
      <c r="H2" s="2">
        <v>5</v>
      </c>
      <c r="I2" s="2"/>
      <c r="J2" s="2"/>
      <c r="K2" s="2"/>
      <c r="L2" s="2"/>
    </row>
    <row r="3" spans="1:12" ht="49.95" customHeight="1" x14ac:dyDescent="0.3">
      <c r="A3" s="3" t="s">
        <v>16</v>
      </c>
      <c r="B3" s="2" t="s">
        <v>17</v>
      </c>
      <c r="C3" s="2" t="s">
        <v>18</v>
      </c>
      <c r="D3" s="2" t="s">
        <v>15</v>
      </c>
      <c r="E3" s="4" t="str">
        <f>IF(ISERROR("AIRPORT"),"",HYPERLINK("#INDEX('Value Lookup'!A:A,MATCH(A" &amp; ROW() &amp; ",'Value Lookup'!A:A,0))","Value Lookup"))</f>
        <v>Value Lookup</v>
      </c>
      <c r="F3" s="4" t="str">
        <f>IF(ISERROR("AIRPORT"),"",HYPERLINK("#INDEX('Frequencies'!A:A,MATCH(A" &amp; ROW() &amp; ",'Frequencies'!A:A,0))","Frequencies"))</f>
        <v>Frequencies</v>
      </c>
      <c r="G3" s="2">
        <v>35</v>
      </c>
      <c r="H3" s="2"/>
      <c r="I3" s="2"/>
      <c r="J3" s="2"/>
      <c r="K3" s="2"/>
      <c r="L3" s="2" t="s">
        <v>19</v>
      </c>
    </row>
    <row r="4" spans="1:12" ht="49.95" customHeight="1" x14ac:dyDescent="0.3">
      <c r="A4" s="3" t="s">
        <v>20</v>
      </c>
      <c r="B4" s="2" t="s">
        <v>21</v>
      </c>
      <c r="C4" s="2" t="s">
        <v>22</v>
      </c>
      <c r="D4" s="2" t="s">
        <v>15</v>
      </c>
      <c r="E4" s="4" t="str">
        <f>IF(ISERROR("ALT_1"),"",HYPERLINK("#INDEX('Value Lookup'!A:A,MATCH(A" &amp; ROW() &amp; ",'Value Lookup'!A:A,0))","Value Lookup"))</f>
        <v>Value Lookup</v>
      </c>
      <c r="F4" s="4" t="str">
        <f>IF(ISERROR("ALT_1"),"",HYPERLINK("#INDEX('Frequencies'!A:A,MATCH(A" &amp; ROW() &amp; ",'Frequencies'!A:A,0))","Frequencies"))</f>
        <v>Frequencies</v>
      </c>
      <c r="G4" s="2"/>
      <c r="H4" s="2">
        <v>95</v>
      </c>
      <c r="I4" s="2"/>
      <c r="J4" s="2"/>
      <c r="K4" s="2"/>
      <c r="L4" s="2"/>
    </row>
    <row r="5" spans="1:12" ht="49.95" customHeight="1" x14ac:dyDescent="0.3">
      <c r="A5" s="3" t="s">
        <v>23</v>
      </c>
      <c r="B5" s="2" t="s">
        <v>24</v>
      </c>
      <c r="C5" s="2" t="s">
        <v>22</v>
      </c>
      <c r="D5" s="2" t="s">
        <v>15</v>
      </c>
      <c r="E5" s="4" t="str">
        <f>IF(ISERROR("ALT_2"),"",HYPERLINK("#INDEX('Value Lookup'!A:A,MATCH(A" &amp; ROW() &amp; ",'Value Lookup'!A:A,0))","Value Lookup"))</f>
        <v>Value Lookup</v>
      </c>
      <c r="F5" s="4" t="str">
        <f>IF(ISERROR("ALT_2"),"",HYPERLINK("#INDEX('Frequencies'!A:A,MATCH(A" &amp; ROW() &amp; ",'Frequencies'!A:A,0))","Frequencies"))</f>
        <v>Frequencies</v>
      </c>
      <c r="G5" s="2"/>
      <c r="H5" s="2">
        <v>96</v>
      </c>
      <c r="I5" s="2"/>
      <c r="J5" s="2"/>
      <c r="K5" s="2"/>
      <c r="L5" s="2"/>
    </row>
    <row r="6" spans="1:12" ht="49.95" customHeight="1" x14ac:dyDescent="0.3">
      <c r="A6" s="3" t="s">
        <v>25</v>
      </c>
      <c r="B6" s="2" t="s">
        <v>26</v>
      </c>
      <c r="C6" s="2" t="s">
        <v>22</v>
      </c>
      <c r="D6" s="2" t="s">
        <v>15</v>
      </c>
      <c r="E6" s="4" t="str">
        <f>IF(ISERROR("ALT_3"),"",HYPERLINK("#INDEX('Value Lookup'!A:A,MATCH(A" &amp; ROW() &amp; ",'Value Lookup'!A:A,0))","Value Lookup"))</f>
        <v>Value Lookup</v>
      </c>
      <c r="F6" s="4" t="str">
        <f>IF(ISERROR("ALT_3"),"",HYPERLINK("#INDEX('Frequencies'!A:A,MATCH(A" &amp; ROW() &amp; ",'Frequencies'!A:A,0))","Frequencies"))</f>
        <v>Frequencies</v>
      </c>
      <c r="G6" s="2"/>
      <c r="H6" s="2">
        <v>97</v>
      </c>
      <c r="I6" s="2"/>
      <c r="J6" s="2"/>
      <c r="K6" s="2"/>
      <c r="L6" s="2"/>
    </row>
    <row r="7" spans="1:12" ht="49.95" customHeight="1" x14ac:dyDescent="0.3">
      <c r="A7" s="3" t="s">
        <v>27</v>
      </c>
      <c r="B7" s="2" t="s">
        <v>28</v>
      </c>
      <c r="C7" s="2" t="s">
        <v>22</v>
      </c>
      <c r="D7" s="2" t="s">
        <v>15</v>
      </c>
      <c r="E7" s="4" t="str">
        <f>IF(ISERROR("ALT_4"),"",HYPERLINK("#INDEX('Value Lookup'!A:A,MATCH(A" &amp; ROW() &amp; ",'Value Lookup'!A:A,0))","Value Lookup"))</f>
        <v>Value Lookup</v>
      </c>
      <c r="F7" s="4" t="str">
        <f>IF(ISERROR("ALT_4"),"",HYPERLINK("#INDEX('Frequencies'!A:A,MATCH(A" &amp; ROW() &amp; ",'Frequencies'!A:A,0))","Frequencies"))</f>
        <v>Frequencies</v>
      </c>
      <c r="G7" s="2"/>
      <c r="H7" s="2">
        <v>98</v>
      </c>
      <c r="I7" s="2"/>
      <c r="J7" s="2"/>
      <c r="K7" s="2"/>
      <c r="L7" s="2"/>
    </row>
    <row r="8" spans="1:12" ht="49.95" customHeight="1" x14ac:dyDescent="0.3">
      <c r="A8" s="3" t="s">
        <v>29</v>
      </c>
      <c r="B8" s="2" t="s">
        <v>30</v>
      </c>
      <c r="C8" s="2" t="s">
        <v>22</v>
      </c>
      <c r="D8" s="2" t="s">
        <v>15</v>
      </c>
      <c r="E8" s="4" t="str">
        <f>IF(ISERROR("ALT_5"),"",HYPERLINK("#INDEX('Value Lookup'!A:A,MATCH(A" &amp; ROW() &amp; ",'Value Lookup'!A:A,0))","Value Lookup"))</f>
        <v>Value Lookup</v>
      </c>
      <c r="F8" s="4" t="str">
        <f>IF(ISERROR("ALT_5"),"",HYPERLINK("#INDEX('Frequencies'!A:A,MATCH(A" &amp; ROW() &amp; ",'Frequencies'!A:A,0))","Frequencies"))</f>
        <v>Frequencies</v>
      </c>
      <c r="G8" s="2"/>
      <c r="H8" s="2">
        <v>99</v>
      </c>
      <c r="I8" s="2"/>
      <c r="J8" s="2"/>
      <c r="K8" s="2"/>
      <c r="L8" s="2"/>
    </row>
    <row r="9" spans="1:12" ht="49.95" customHeight="1" x14ac:dyDescent="0.3">
      <c r="A9" s="3" t="s">
        <v>31</v>
      </c>
      <c r="B9" s="2" t="s">
        <v>32</v>
      </c>
      <c r="C9" s="2" t="s">
        <v>22</v>
      </c>
      <c r="D9" s="2" t="s">
        <v>15</v>
      </c>
      <c r="E9" s="4" t="str">
        <f>IF(ISERROR("ALT_6"),"",HYPERLINK("#INDEX('Value Lookup'!A:A,MATCH(A" &amp; ROW() &amp; ",'Value Lookup'!A:A,0))","Value Lookup"))</f>
        <v>Value Lookup</v>
      </c>
      <c r="F9" s="4" t="str">
        <f>IF(ISERROR("ALT_6"),"",HYPERLINK("#INDEX('Frequencies'!A:A,MATCH(A" &amp; ROW() &amp; ",'Frequencies'!A:A,0))","Frequencies"))</f>
        <v>Frequencies</v>
      </c>
      <c r="G9" s="2"/>
      <c r="H9" s="2">
        <v>100</v>
      </c>
      <c r="I9" s="2"/>
      <c r="J9" s="2"/>
      <c r="K9" s="2"/>
      <c r="L9" s="2"/>
    </row>
    <row r="10" spans="1:12" ht="49.95" customHeight="1" x14ac:dyDescent="0.3">
      <c r="A10" s="3" t="s">
        <v>33</v>
      </c>
      <c r="B10" s="2" t="s">
        <v>34</v>
      </c>
      <c r="C10" s="2" t="s">
        <v>22</v>
      </c>
      <c r="D10" s="2" t="s">
        <v>15</v>
      </c>
      <c r="E10" s="4" t="str">
        <f>IF(ISERROR("ALT_7"),"",HYPERLINK("#INDEX('Value Lookup'!A:A,MATCH(A" &amp; ROW() &amp; ",'Value Lookup'!A:A,0))","Value Lookup"))</f>
        <v>Value Lookup</v>
      </c>
      <c r="F10" s="4" t="str">
        <f>IF(ISERROR("ALT_7"),"",HYPERLINK("#INDEX('Frequencies'!A:A,MATCH(A" &amp; ROW() &amp; ",'Frequencies'!A:A,0))","Frequencies"))</f>
        <v>Frequencies</v>
      </c>
      <c r="G10" s="2"/>
      <c r="H10" s="2">
        <v>101</v>
      </c>
      <c r="I10" s="2"/>
      <c r="J10" s="2"/>
      <c r="K10" s="2"/>
      <c r="L10" s="2"/>
    </row>
    <row r="11" spans="1:12" ht="49.95" customHeight="1" x14ac:dyDescent="0.3">
      <c r="A11" s="3" t="s">
        <v>35</v>
      </c>
      <c r="B11" s="2" t="s">
        <v>36</v>
      </c>
      <c r="C11" s="2" t="s">
        <v>22</v>
      </c>
      <c r="D11" s="2" t="s">
        <v>15</v>
      </c>
      <c r="E11" s="4" t="str">
        <f>IF(ISERROR("ALT_DK"),"",HYPERLINK("#INDEX('Value Lookup'!A:A,MATCH(A" &amp; ROW() &amp; ",'Value Lookup'!A:A,0))","Value Lookup"))</f>
        <v>Value Lookup</v>
      </c>
      <c r="F11" s="4" t="str">
        <f>IF(ISERROR("ALT_DK"),"",HYPERLINK("#INDEX('Frequencies'!A:A,MATCH(A" &amp; ROW() &amp; ",'Frequencies'!A:A,0))","Frequencies"))</f>
        <v>Frequencies</v>
      </c>
      <c r="G11" s="2"/>
      <c r="H11" s="2">
        <v>102</v>
      </c>
      <c r="I11" s="2"/>
      <c r="J11" s="2"/>
      <c r="K11" s="2"/>
      <c r="L11" s="2"/>
    </row>
    <row r="12" spans="1:12" ht="49.95" customHeight="1" x14ac:dyDescent="0.3">
      <c r="A12" s="3" t="s">
        <v>37</v>
      </c>
      <c r="B12" s="2" t="s">
        <v>38</v>
      </c>
      <c r="C12" s="2"/>
      <c r="D12" s="2" t="s">
        <v>15</v>
      </c>
      <c r="E12" s="4" t="str">
        <f>IF(ISERROR("ALT_O"),"",HYPERLINK("#INDEX('Value Lookup'!A:A,MATCH(A" &amp; ROW() &amp; ",'Value Lookup'!A:A,0))","Value Lookup"))</f>
        <v>Value Lookup</v>
      </c>
      <c r="F12" s="4" t="str">
        <f>IF(ISERROR("ALT_O"),"",HYPERLINK("#INDEX('Frequencies'!A:A,MATCH(A" &amp; ROW() &amp; ",'Frequencies'!A:A,0))","Frequencies"))</f>
        <v>Frequencies</v>
      </c>
      <c r="G12" s="2"/>
      <c r="H12" s="2">
        <v>105</v>
      </c>
      <c r="I12" s="2"/>
      <c r="J12" s="2"/>
      <c r="K12" s="2"/>
      <c r="L12" s="2"/>
    </row>
    <row r="13" spans="1:12" ht="49.95" customHeight="1" x14ac:dyDescent="0.3">
      <c r="A13" s="3" t="s">
        <v>39</v>
      </c>
      <c r="B13" s="2" t="s">
        <v>40</v>
      </c>
      <c r="C13" s="2" t="s">
        <v>22</v>
      </c>
      <c r="D13" s="2" t="s">
        <v>15</v>
      </c>
      <c r="E13" s="4" t="str">
        <f>IF(ISERROR("ALT_RF"),"",HYPERLINK("#INDEX('Value Lookup'!A:A,MATCH(A" &amp; ROW() &amp; ",'Value Lookup'!A:A,0))","Value Lookup"))</f>
        <v>Value Lookup</v>
      </c>
      <c r="F13" s="4" t="str">
        <f>IF(ISERROR("ALT_RF"),"",HYPERLINK("#INDEX('Frequencies'!A:A,MATCH(A" &amp; ROW() &amp; ",'Frequencies'!A:A,0))","Frequencies"))</f>
        <v>Frequencies</v>
      </c>
      <c r="G13" s="2"/>
      <c r="H13" s="2">
        <v>103</v>
      </c>
      <c r="I13" s="2"/>
      <c r="J13" s="2"/>
      <c r="K13" s="2"/>
      <c r="L13" s="2"/>
    </row>
    <row r="14" spans="1:12" ht="49.95" customHeight="1" x14ac:dyDescent="0.3">
      <c r="A14" s="3" t="s">
        <v>41</v>
      </c>
      <c r="B14" s="2" t="s">
        <v>42</v>
      </c>
      <c r="C14" s="2" t="s">
        <v>22</v>
      </c>
      <c r="D14" s="2" t="s">
        <v>15</v>
      </c>
      <c r="E14" s="4" t="str">
        <f>IF(ISERROR("ALT_SE"),"",HYPERLINK("#INDEX('Value Lookup'!A:A,MATCH(A" &amp; ROW() &amp; ",'Value Lookup'!A:A,0))","Value Lookup"))</f>
        <v>Value Lookup</v>
      </c>
      <c r="F14" s="4" t="str">
        <f>IF(ISERROR("ALT_SE"),"",HYPERLINK("#INDEX('Frequencies'!A:A,MATCH(A" &amp; ROW() &amp; ",'Frequencies'!A:A,0))","Frequencies"))</f>
        <v>Frequencies</v>
      </c>
      <c r="G14" s="2"/>
      <c r="H14" s="2">
        <v>104</v>
      </c>
      <c r="I14" s="2"/>
      <c r="J14" s="2"/>
      <c r="K14" s="2"/>
      <c r="L14" s="2"/>
    </row>
    <row r="15" spans="1:12" ht="49.95" customHeight="1" x14ac:dyDescent="0.3">
      <c r="A15" s="3" t="s">
        <v>43</v>
      </c>
      <c r="B15" s="2" t="s">
        <v>44</v>
      </c>
      <c r="C15" s="2"/>
      <c r="D15" s="2" t="s">
        <v>45</v>
      </c>
      <c r="E15" s="4" t="str">
        <f>IF(ISERROR("ANNMILES"),"",HYPERLINK("#INDEX('Value Lookup'!A:A,MATCH(A" &amp; ROW() &amp; ",'Value Lookup'!A:A,0))","Value Lookup"))</f>
        <v>Value Lookup</v>
      </c>
      <c r="F15" s="4" t="str">
        <f>IF(ISERROR("ANNMILES"),"",HYPERLINK("#INDEX('Frequencies'!A:A,MATCH(A" &amp; ROW() &amp; ",'Frequencies'!A:A,0))","Frequencies"))</f>
        <v>Frequencies</v>
      </c>
      <c r="G15" s="2"/>
      <c r="H15" s="2"/>
      <c r="I15" s="2">
        <v>29</v>
      </c>
      <c r="J15" s="2"/>
      <c r="K15" s="2"/>
      <c r="L15" s="2"/>
    </row>
    <row r="16" spans="1:12" ht="49.95" customHeight="1" x14ac:dyDescent="0.3">
      <c r="A16" s="3" t="s">
        <v>46</v>
      </c>
      <c r="B16" s="2" t="s">
        <v>47</v>
      </c>
      <c r="C16" s="2"/>
      <c r="D16" s="2" t="s">
        <v>15</v>
      </c>
      <c r="E16" s="4" t="str">
        <f>IF(ISERROR("AWAYHOME"),"",HYPERLINK("#INDEX('Value Lookup'!A:A,MATCH(A" &amp; ROW() &amp; ",'Value Lookup'!A:A,0))","Value Lookup"))</f>
        <v>Value Lookup</v>
      </c>
      <c r="F16" s="4" t="str">
        <f>IF(ISERROR("AWAYHOME"),"",HYPERLINK("#INDEX('Frequencies'!A:A,MATCH(A" &amp; ROW() &amp; ",'Frequencies'!A:A,0))","Frequencies"))</f>
        <v>Frequencies</v>
      </c>
      <c r="G16" s="2"/>
      <c r="H16" s="2">
        <v>140</v>
      </c>
      <c r="I16" s="2"/>
      <c r="J16" s="2"/>
      <c r="K16" s="2"/>
      <c r="L16" s="2"/>
    </row>
    <row r="17" spans="1:12" ht="49.95" customHeight="1" x14ac:dyDescent="0.3">
      <c r="A17" s="3" t="s">
        <v>48</v>
      </c>
      <c r="B17" s="2" t="s">
        <v>49</v>
      </c>
      <c r="C17" s="2"/>
      <c r="D17" s="2" t="s">
        <v>15</v>
      </c>
      <c r="E17" s="4" t="str">
        <f>IF(ISERROR("AWAYHOME17"),"",HYPERLINK("#INDEX('Value Lookup'!A:A,MATCH(A" &amp; ROW() &amp; ",'Value Lookup'!A:A,0))","Value Lookup"))</f>
        <v>Value Lookup</v>
      </c>
      <c r="F17" s="4" t="str">
        <f>IF(ISERROR("AWAYHOME17"),"",HYPERLINK("#INDEX('Frequencies'!A:A,MATCH(A" &amp; ROW() &amp; ",'Frequencies'!A:A,0))","Frequencies"))</f>
        <v>Frequencies</v>
      </c>
      <c r="G17" s="2"/>
      <c r="H17" s="2">
        <v>141</v>
      </c>
      <c r="I17" s="2"/>
      <c r="J17" s="2"/>
      <c r="K17" s="2"/>
      <c r="L17" s="2"/>
    </row>
    <row r="18" spans="1:12" ht="49.95" customHeight="1" x14ac:dyDescent="0.3">
      <c r="A18" s="3" t="s">
        <v>50</v>
      </c>
      <c r="B18" s="2" t="s">
        <v>51</v>
      </c>
      <c r="C18" s="2" t="s">
        <v>52</v>
      </c>
      <c r="D18" s="2" t="s">
        <v>15</v>
      </c>
      <c r="E18" s="4" t="str">
        <f>IF(ISERROR("BIKE"),"",HYPERLINK("#INDEX('Value Lookup'!A:A,MATCH(A" &amp; ROW() &amp; ",'Value Lookup'!A:A,0))","Value Lookup"))</f>
        <v>Value Lookup</v>
      </c>
      <c r="F18" s="4" t="str">
        <f>IF(ISERROR("BIKE"),"",HYPERLINK("#INDEX('Frequencies'!A:A,MATCH(A" &amp; ROW() &amp; ",'Frequencies'!A:A,0))","Frequencies"))</f>
        <v>Frequencies</v>
      </c>
      <c r="G18" s="2">
        <v>23</v>
      </c>
      <c r="H18" s="2"/>
      <c r="I18" s="2"/>
      <c r="J18" s="2"/>
      <c r="K18" s="2"/>
      <c r="L18" s="2"/>
    </row>
    <row r="19" spans="1:12" ht="49.95" customHeight="1" x14ac:dyDescent="0.3">
      <c r="A19" s="3" t="s">
        <v>53</v>
      </c>
      <c r="B19" s="2" t="s">
        <v>54</v>
      </c>
      <c r="C19" s="2" t="s">
        <v>55</v>
      </c>
      <c r="D19" s="2" t="s">
        <v>15</v>
      </c>
      <c r="E19" s="4" t="str">
        <f>IF(ISERROR("BIKE2SAVE"),"",HYPERLINK("#INDEX('Value Lookup'!A:A,MATCH(A" &amp; ROW() &amp; ",'Value Lookup'!A:A,0))","Value Lookup"))</f>
        <v>Value Lookup</v>
      </c>
      <c r="F19" s="4" t="str">
        <f>IF(ISERROR("BIKE2SAVE"),"",HYPERLINK("#INDEX('Frequencies'!A:A,MATCH(A" &amp; ROW() &amp; ",'Frequencies'!A:A,0))","Frequencies"))</f>
        <v>Frequencies</v>
      </c>
      <c r="G19" s="2">
        <v>32</v>
      </c>
      <c r="H19" s="2"/>
      <c r="I19" s="2"/>
      <c r="J19" s="2"/>
      <c r="K19" s="2"/>
      <c r="L19" s="2"/>
    </row>
    <row r="20" spans="1:12" ht="49.95" customHeight="1" x14ac:dyDescent="0.3">
      <c r="A20" s="3" t="s">
        <v>56</v>
      </c>
      <c r="B20" s="2" t="s">
        <v>57</v>
      </c>
      <c r="C20" s="2" t="s">
        <v>58</v>
      </c>
      <c r="D20" s="2" t="s">
        <v>45</v>
      </c>
      <c r="E20" s="2" t="str">
        <f>IF(ISERROR("BIKE4EX"),"","Range: 0 - [$NBIKETRIP]")</f>
        <v>Range: 0 - [$NBIKETRIP]</v>
      </c>
      <c r="F20" s="4" t="str">
        <f>IF(ISERROR("BIKE4EX"),"",HYPERLINK("#INDEX('Frequencies'!A:A,MATCH(A" &amp; ROW() &amp; ",'Frequencies'!A:A,0))","Frequencies"))</f>
        <v>Frequencies</v>
      </c>
      <c r="G20" s="2"/>
      <c r="H20" s="2">
        <v>26</v>
      </c>
      <c r="I20" s="2"/>
      <c r="J20" s="2"/>
      <c r="K20" s="2"/>
      <c r="L20" s="2"/>
    </row>
    <row r="21" spans="1:12" ht="49.95" customHeight="1" x14ac:dyDescent="0.3">
      <c r="A21" s="3" t="s">
        <v>59</v>
      </c>
      <c r="B21" s="2" t="s">
        <v>60</v>
      </c>
      <c r="C21" s="2" t="s">
        <v>61</v>
      </c>
      <c r="D21" s="2" t="s">
        <v>15</v>
      </c>
      <c r="E21" s="4" t="str">
        <f>IF(ISERROR("BIKE_D"),"",HYPERLINK("#INDEX('Value Lookup'!A:A,MATCH(A" &amp; ROW() &amp; ",'Value Lookup'!A:A,0))","Value Lookup"))</f>
        <v>Value Lookup</v>
      </c>
      <c r="F21" s="4" t="str">
        <f>IF(ISERROR("BIKE_D"),"",HYPERLINK("#INDEX('Frequencies'!A:A,MATCH(A" &amp; ROW() &amp; ",'Frequencies'!A:A,0))","Frequencies"))</f>
        <v>Frequencies</v>
      </c>
      <c r="G21" s="2"/>
      <c r="H21" s="2">
        <v>28</v>
      </c>
      <c r="I21" s="2"/>
      <c r="J21" s="2"/>
      <c r="K21" s="2"/>
      <c r="L21" s="2"/>
    </row>
    <row r="22" spans="1:12" ht="49.95" customHeight="1" x14ac:dyDescent="0.3">
      <c r="A22" s="3" t="s">
        <v>62</v>
      </c>
      <c r="B22" s="2" t="s">
        <v>63</v>
      </c>
      <c r="C22" s="2" t="s">
        <v>61</v>
      </c>
      <c r="D22" s="2" t="s">
        <v>15</v>
      </c>
      <c r="E22" s="4" t="str">
        <f>IF(ISERROR("BIKE_DK"),"",HYPERLINK("#INDEX('Value Lookup'!A:A,MATCH(A" &amp; ROW() &amp; ",'Value Lookup'!A:A,0))","Value Lookup"))</f>
        <v>Value Lookup</v>
      </c>
      <c r="F22" s="4" t="str">
        <f>IF(ISERROR("BIKE_DK"),"",HYPERLINK("#INDEX('Frequencies'!A:A,MATCH(A" &amp; ROW() &amp; ",'Frequencies'!A:A,0))","Frequencies"))</f>
        <v>Frequencies</v>
      </c>
      <c r="G22" s="2"/>
      <c r="H22" s="2">
        <v>35</v>
      </c>
      <c r="I22" s="2"/>
      <c r="J22" s="2"/>
      <c r="K22" s="2"/>
      <c r="L22" s="2"/>
    </row>
    <row r="23" spans="1:12" ht="49.95" customHeight="1" x14ac:dyDescent="0.3">
      <c r="A23" s="3" t="s">
        <v>64</v>
      </c>
      <c r="B23" s="2" t="s">
        <v>65</v>
      </c>
      <c r="C23" s="2" t="s">
        <v>61</v>
      </c>
      <c r="D23" s="2" t="s">
        <v>15</v>
      </c>
      <c r="E23" s="4" t="str">
        <f>IF(ISERROR("BIKE_F"),"",HYPERLINK("#INDEX('Value Lookup'!A:A,MATCH(A" &amp; ROW() &amp; ",'Value Lookup'!A:A,0))","Value Lookup"))</f>
        <v>Value Lookup</v>
      </c>
      <c r="F23" s="4" t="str">
        <f>IF(ISERROR("BIKE_F"),"",HYPERLINK("#INDEX('Frequencies'!A:A,MATCH(A" &amp; ROW() &amp; ",'Frequencies'!A:A,0))","Frequencies"))</f>
        <v>Frequencies</v>
      </c>
      <c r="G23" s="2"/>
      <c r="H23" s="2">
        <v>29</v>
      </c>
      <c r="I23" s="2"/>
      <c r="J23" s="2"/>
      <c r="K23" s="2"/>
      <c r="L23" s="2"/>
    </row>
    <row r="24" spans="1:12" ht="49.95" customHeight="1" x14ac:dyDescent="0.3">
      <c r="A24" s="3" t="s">
        <v>66</v>
      </c>
      <c r="B24" s="2" t="s">
        <v>67</v>
      </c>
      <c r="C24" s="2" t="s">
        <v>61</v>
      </c>
      <c r="D24" s="2" t="s">
        <v>15</v>
      </c>
      <c r="E24" s="4" t="str">
        <f>IF(ISERROR("BIKE_G"),"",HYPERLINK("#INDEX('Value Lookup'!A:A,MATCH(A" &amp; ROW() &amp; ",'Value Lookup'!A:A,0))","Value Lookup"))</f>
        <v>Value Lookup</v>
      </c>
      <c r="F24" s="4" t="str">
        <f>IF(ISERROR("BIKE_G"),"",HYPERLINK("#INDEX('Frequencies'!A:A,MATCH(A" &amp; ROW() &amp; ",'Frequencies'!A:A,0))","Frequencies"))</f>
        <v>Frequencies</v>
      </c>
      <c r="G24" s="2"/>
      <c r="H24" s="2">
        <v>30</v>
      </c>
      <c r="I24" s="2"/>
      <c r="J24" s="2"/>
      <c r="K24" s="2"/>
      <c r="L24" s="2"/>
    </row>
    <row r="25" spans="1:12" ht="49.95" customHeight="1" x14ac:dyDescent="0.3">
      <c r="A25" s="3" t="s">
        <v>68</v>
      </c>
      <c r="B25" s="2" t="s">
        <v>69</v>
      </c>
      <c r="C25" s="2" t="s">
        <v>61</v>
      </c>
      <c r="D25" s="2" t="s">
        <v>15</v>
      </c>
      <c r="E25" s="4" t="str">
        <f>IF(ISERROR("BIKE_K"),"",HYPERLINK("#INDEX('Value Lookup'!A:A,MATCH(A" &amp; ROW() &amp; ",'Value Lookup'!A:A,0))","Value Lookup"))</f>
        <v>Value Lookup</v>
      </c>
      <c r="F25" s="4" t="str">
        <f>IF(ISERROR("BIKE_K"),"",HYPERLINK("#INDEX('Frequencies'!A:A,MATCH(A" &amp; ROW() &amp; ",'Frequencies'!A:A,0))","Frequencies"))</f>
        <v>Frequencies</v>
      </c>
      <c r="G25" s="2"/>
      <c r="H25" s="2">
        <v>31</v>
      </c>
      <c r="I25" s="2"/>
      <c r="J25" s="2"/>
      <c r="K25" s="2"/>
      <c r="L25" s="2"/>
    </row>
    <row r="26" spans="1:12" ht="49.95" customHeight="1" x14ac:dyDescent="0.3">
      <c r="A26" s="3" t="s">
        <v>70</v>
      </c>
      <c r="B26" s="2" t="s">
        <v>71</v>
      </c>
      <c r="C26" s="2" t="s">
        <v>61</v>
      </c>
      <c r="D26" s="2" t="s">
        <v>15</v>
      </c>
      <c r="E26" s="4" t="str">
        <f>IF(ISERROR("BIKE_P"),"",HYPERLINK("#INDEX('Value Lookup'!A:A,MATCH(A" &amp; ROW() &amp; ",'Value Lookup'!A:A,0))","Value Lookup"))</f>
        <v>Value Lookup</v>
      </c>
      <c r="F26" s="4" t="str">
        <f>IF(ISERROR("BIKE_P"),"",HYPERLINK("#INDEX('Frequencies'!A:A,MATCH(A" &amp; ROW() &amp; ",'Frequencies'!A:A,0))","Frequencies"))</f>
        <v>Frequencies</v>
      </c>
      <c r="G26" s="2"/>
      <c r="H26" s="2">
        <v>32</v>
      </c>
      <c r="I26" s="2"/>
      <c r="J26" s="2"/>
      <c r="K26" s="2"/>
      <c r="L26" s="2"/>
    </row>
    <row r="27" spans="1:12" ht="49.95" customHeight="1" x14ac:dyDescent="0.3">
      <c r="A27" s="3" t="s">
        <v>72</v>
      </c>
      <c r="B27" s="2" t="s">
        <v>73</v>
      </c>
      <c r="C27" s="2" t="s">
        <v>61</v>
      </c>
      <c r="D27" s="2" t="s">
        <v>15</v>
      </c>
      <c r="E27" s="4" t="str">
        <f>IF(ISERROR("BIKE_R"),"",HYPERLINK("#INDEX('Value Lookup'!A:A,MATCH(A" &amp; ROW() &amp; ",'Value Lookup'!A:A,0))","Value Lookup"))</f>
        <v>Value Lookup</v>
      </c>
      <c r="F27" s="4" t="str">
        <f>IF(ISERROR("BIKE_R"),"",HYPERLINK("#INDEX('Frequencies'!A:A,MATCH(A" &amp; ROW() &amp; ",'Frequencies'!A:A,0))","Frequencies"))</f>
        <v>Frequencies</v>
      </c>
      <c r="G27" s="2"/>
      <c r="H27" s="2">
        <v>33</v>
      </c>
      <c r="I27" s="2"/>
      <c r="J27" s="2"/>
      <c r="K27" s="2"/>
      <c r="L27" s="2"/>
    </row>
    <row r="28" spans="1:12" ht="49.95" customHeight="1" x14ac:dyDescent="0.3">
      <c r="A28" s="3" t="s">
        <v>74</v>
      </c>
      <c r="B28" s="2" t="s">
        <v>75</v>
      </c>
      <c r="C28" s="2" t="s">
        <v>61</v>
      </c>
      <c r="D28" s="2" t="s">
        <v>15</v>
      </c>
      <c r="E28" s="4" t="str">
        <f>IF(ISERROR("BIKE_RF"),"",HYPERLINK("#INDEX('Value Lookup'!A:A,MATCH(A" &amp; ROW() &amp; ",'Value Lookup'!A:A,0))","Value Lookup"))</f>
        <v>Value Lookup</v>
      </c>
      <c r="F28" s="4" t="str">
        <f>IF(ISERROR("BIKE_RF"),"",HYPERLINK("#INDEX('Frequencies'!A:A,MATCH(A" &amp; ROW() &amp; ",'Frequencies'!A:A,0))","Frequencies"))</f>
        <v>Frequencies</v>
      </c>
      <c r="G28" s="2"/>
      <c r="H28" s="2">
        <v>36</v>
      </c>
      <c r="I28" s="2"/>
      <c r="J28" s="2"/>
      <c r="K28" s="2"/>
      <c r="L28" s="2"/>
    </row>
    <row r="29" spans="1:12" ht="49.95" customHeight="1" x14ac:dyDescent="0.3">
      <c r="A29" s="3" t="s">
        <v>76</v>
      </c>
      <c r="B29" s="2" t="s">
        <v>77</v>
      </c>
      <c r="C29" s="2" t="s">
        <v>78</v>
      </c>
      <c r="D29" s="2" t="s">
        <v>45</v>
      </c>
      <c r="E29" s="2" t="str">
        <f>IF(ISERROR("BIKESHARE"),"","Range: 0 - 99")</f>
        <v>Range: 0 - 99</v>
      </c>
      <c r="F29" s="4" t="str">
        <f>IF(ISERROR("BIKESHARE"),"",HYPERLINK("#INDEX('Frequencies'!A:A,MATCH(A" &amp; ROW() &amp; ",'Frequencies'!A:A,0))","Frequencies"))</f>
        <v>Frequencies</v>
      </c>
      <c r="G29" s="2"/>
      <c r="H29" s="2">
        <v>27</v>
      </c>
      <c r="I29" s="2"/>
      <c r="J29" s="2"/>
      <c r="K29" s="2"/>
      <c r="L29" s="2"/>
    </row>
    <row r="30" spans="1:12" ht="49.95" customHeight="1" x14ac:dyDescent="0.3">
      <c r="A30" s="3" t="s">
        <v>79</v>
      </c>
      <c r="B30" s="2" t="s">
        <v>80</v>
      </c>
      <c r="C30" s="2" t="s">
        <v>61</v>
      </c>
      <c r="D30" s="2" t="s">
        <v>15</v>
      </c>
      <c r="E30" s="4" t="str">
        <f>IF(ISERROR("BIKE_Z"),"",HYPERLINK("#INDEX('Value Lookup'!A:A,MATCH(A" &amp; ROW() &amp; ",'Value Lookup'!A:A,0))","Value Lookup"))</f>
        <v>Value Lookup</v>
      </c>
      <c r="F30" s="4" t="str">
        <f>IF(ISERROR("BIKE_Z"),"",HYPERLINK("#INDEX('Frequencies'!A:A,MATCH(A" &amp; ROW() &amp; ",'Frequencies'!A:A,0))","Frequencies"))</f>
        <v>Frequencies</v>
      </c>
      <c r="G30" s="2"/>
      <c r="H30" s="2">
        <v>34</v>
      </c>
      <c r="I30" s="2"/>
      <c r="J30" s="2"/>
      <c r="K30" s="2"/>
      <c r="L30" s="2"/>
    </row>
    <row r="31" spans="1:12" ht="49.95" customHeight="1" x14ac:dyDescent="0.3">
      <c r="A31" s="3" t="s">
        <v>81</v>
      </c>
      <c r="B31" s="2" t="s">
        <v>82</v>
      </c>
      <c r="C31" s="2"/>
      <c r="D31" s="2" t="s">
        <v>15</v>
      </c>
      <c r="E31" s="4" t="str">
        <f>IF(ISERROR("BLOCKFIPS"),"",HYPERLINK("#INDEX('Value Lookup'!A:A,MATCH(A" &amp; ROW() &amp; ",'Value Lookup'!A:A,0))","Value Lookup"))</f>
        <v>Value Lookup</v>
      </c>
      <c r="F31" s="4" t="str">
        <f>IF(ISERROR("BLOCKFIPS"),"",HYPERLINK("#INDEX('Frequencies'!A:A,MATCH(A" &amp; ROW() &amp; ",'Frequencies'!A:A,0))","Frequencies"))</f>
        <v>Frequencies</v>
      </c>
      <c r="G31" s="2"/>
      <c r="H31" s="2"/>
      <c r="I31" s="2"/>
      <c r="J31" s="2"/>
      <c r="K31" s="2">
        <v>18</v>
      </c>
      <c r="L31" s="2"/>
    </row>
    <row r="32" spans="1:12" ht="49.95" customHeight="1" x14ac:dyDescent="0.3">
      <c r="A32" s="3" t="s">
        <v>83</v>
      </c>
      <c r="B32" s="2" t="s">
        <v>84</v>
      </c>
      <c r="C32" s="2" t="s">
        <v>85</v>
      </c>
      <c r="D32" s="2" t="s">
        <v>15</v>
      </c>
      <c r="E32" s="4" t="str">
        <f>IF(ISERROR("BORNINUS"),"",HYPERLINK("#INDEX('Value Lookup'!A:A,MATCH(A" &amp; ROW() &amp; ",'Value Lookup'!A:A,0))","Value Lookup"))</f>
        <v>Value Lookup</v>
      </c>
      <c r="F32" s="4" t="str">
        <f>IF(ISERROR("BORNINUS"),"",HYPERLINK("#INDEX('Frequencies'!A:A,MATCH(A" &amp; ROW() &amp; ",'Frequencies'!A:A,0))","Frequencies"))</f>
        <v>Frequencies</v>
      </c>
      <c r="G32" s="2"/>
      <c r="H32" s="2">
        <v>74</v>
      </c>
      <c r="I32" s="2"/>
      <c r="J32" s="2"/>
      <c r="K32" s="2"/>
      <c r="L32" s="2"/>
    </row>
    <row r="33" spans="1:12" ht="49.95" customHeight="1" x14ac:dyDescent="0.3">
      <c r="A33" s="3" t="s">
        <v>86</v>
      </c>
      <c r="B33" s="2" t="s">
        <v>87</v>
      </c>
      <c r="C33" s="2" t="s">
        <v>88</v>
      </c>
      <c r="D33" s="2" t="s">
        <v>15</v>
      </c>
      <c r="E33" s="4" t="str">
        <f>IF(ISERROR("BUS"),"",HYPERLINK("#INDEX('Value Lookup'!A:A,MATCH(A" &amp; ROW() &amp; ",'Value Lookup'!A:A,0))","Value Lookup"))</f>
        <v>Value Lookup</v>
      </c>
      <c r="F33" s="4" t="str">
        <f>IF(ISERROR("BUS"),"",HYPERLINK("#INDEX('Frequencies'!A:A,MATCH(A" &amp; ROW() &amp; ",'Frequencies'!A:A,0))","Frequencies"))</f>
        <v>Frequencies</v>
      </c>
      <c r="G33" s="2">
        <v>26</v>
      </c>
      <c r="H33" s="2"/>
      <c r="I33" s="2"/>
      <c r="J33" s="2"/>
      <c r="K33" s="2"/>
      <c r="L33" s="2"/>
    </row>
    <row r="34" spans="1:12" ht="49.95" customHeight="1" x14ac:dyDescent="0.3">
      <c r="A34" s="3" t="s">
        <v>89</v>
      </c>
      <c r="B34" s="2" t="s">
        <v>90</v>
      </c>
      <c r="C34" s="2" t="s">
        <v>91</v>
      </c>
      <c r="D34" s="2" t="s">
        <v>15</v>
      </c>
      <c r="E34" s="4" t="str">
        <f>IF(ISERROR("CAR"),"",HYPERLINK("#INDEX('Value Lookup'!A:A,MATCH(A" &amp; ROW() &amp; ",'Value Lookup'!A:A,0))","Value Lookup"))</f>
        <v>Value Lookup</v>
      </c>
      <c r="F34" s="4" t="str">
        <f>IF(ISERROR("CAR"),"",HYPERLINK("#INDEX('Frequencies'!A:A,MATCH(A" &amp; ROW() &amp; ",'Frequencies'!A:A,0))","Frequencies"))</f>
        <v>Frequencies</v>
      </c>
      <c r="G34" s="2">
        <v>24</v>
      </c>
      <c r="H34" s="2"/>
      <c r="I34" s="2"/>
      <c r="J34" s="2"/>
      <c r="K34" s="2"/>
      <c r="L34" s="2"/>
    </row>
    <row r="35" spans="1:12" ht="49.95" customHeight="1" x14ac:dyDescent="0.3">
      <c r="A35" s="3" t="s">
        <v>92</v>
      </c>
      <c r="B35" s="2" t="s">
        <v>93</v>
      </c>
      <c r="C35" s="2" t="s">
        <v>94</v>
      </c>
      <c r="D35" s="2" t="s">
        <v>45</v>
      </c>
      <c r="E35" s="2" t="str">
        <f>IF(ISERROR("CARRODE"),"","Range: 1 - 20")</f>
        <v>Range: 1 - 20</v>
      </c>
      <c r="F35" s="4" t="str">
        <f>IF(ISERROR("CARRODE"),"",HYPERLINK("#INDEX('Frequencies'!A:A,MATCH(A" &amp; ROW() &amp; ",'Frequencies'!A:A,0))","Frequencies"))</f>
        <v>Frequencies</v>
      </c>
      <c r="G35" s="2"/>
      <c r="H35" s="2">
        <v>50</v>
      </c>
      <c r="I35" s="2"/>
      <c r="J35" s="2"/>
      <c r="K35" s="2"/>
      <c r="L35" s="2"/>
    </row>
    <row r="36" spans="1:12" ht="49.95" customHeight="1" x14ac:dyDescent="0.3">
      <c r="A36" s="3" t="s">
        <v>95</v>
      </c>
      <c r="B36" s="2" t="s">
        <v>96</v>
      </c>
      <c r="C36" s="2" t="s">
        <v>97</v>
      </c>
      <c r="D36" s="2" t="s">
        <v>45</v>
      </c>
      <c r="E36" s="2" t="str">
        <f>IF(ISERROR("CARSHARE"),"","Range: 0 - 99")</f>
        <v>Range: 0 - 99</v>
      </c>
      <c r="F36" s="4" t="str">
        <f>IF(ISERROR("CARSHARE"),"",HYPERLINK("#INDEX('Frequencies'!A:A,MATCH(A" &amp; ROW() &amp; ",'Frequencies'!A:A,0))","Frequencies"))</f>
        <v>Frequencies</v>
      </c>
      <c r="G36" s="2"/>
      <c r="H36" s="2">
        <v>48</v>
      </c>
      <c r="I36" s="2"/>
      <c r="J36" s="2"/>
      <c r="K36" s="2"/>
      <c r="L36" s="2"/>
    </row>
    <row r="37" spans="1:12" ht="49.95" customHeight="1" x14ac:dyDescent="0.3">
      <c r="A37" s="3" t="s">
        <v>98</v>
      </c>
      <c r="B37" s="2" t="s">
        <v>99</v>
      </c>
      <c r="C37" s="2"/>
      <c r="D37" s="2" t="s">
        <v>15</v>
      </c>
      <c r="E37" s="4" t="str">
        <f>IF(ISERROR("CBSA"),"",HYPERLINK("#INDEX('Value Lookup'!A:A,MATCH(A" &amp; ROW() &amp; ",'Value Lookup'!A:A,0))","Value Lookup"))</f>
        <v>Value Lookup</v>
      </c>
      <c r="F37" s="4" t="str">
        <f>IF(ISERROR("CBSA"),"",HYPERLINK("#INDEX('Frequencies'!A:A,MATCH(A" &amp; ROW() &amp; ",'Frequencies'!A:A,0))","Frequencies"))</f>
        <v>Frequencies</v>
      </c>
      <c r="G37" s="2"/>
      <c r="H37" s="2"/>
      <c r="I37" s="2"/>
      <c r="J37" s="2"/>
      <c r="K37" s="2">
        <v>19</v>
      </c>
      <c r="L37" s="2"/>
    </row>
    <row r="38" spans="1:12" ht="49.95" customHeight="1" x14ac:dyDescent="0.3">
      <c r="A38" s="3" t="s">
        <v>100</v>
      </c>
      <c r="B38" s="2" t="s">
        <v>101</v>
      </c>
      <c r="C38" s="2"/>
      <c r="D38" s="2" t="s">
        <v>15</v>
      </c>
      <c r="E38" s="4" t="str">
        <f>IF(ISERROR("CDIVMSAR"),"",HYPERLINK("#INDEX('Value Lookup'!A:A,MATCH(A" &amp; ROW() &amp; ",'Value Lookup'!A:A,0))","Value Lookup"))</f>
        <v>Value Lookup</v>
      </c>
      <c r="F38" s="4" t="str">
        <f>IF(ISERROR("CDIVMSAR"),"",HYPERLINK("#INDEX('Frequencies'!A:A,MATCH(A" &amp; ROW() &amp; ",'Frequencies'!A:A,0))","Frequencies"))</f>
        <v>Frequencies</v>
      </c>
      <c r="G38" s="2">
        <v>87</v>
      </c>
      <c r="H38" s="2"/>
      <c r="I38" s="2"/>
      <c r="J38" s="2"/>
      <c r="K38" s="2"/>
      <c r="L38" s="2"/>
    </row>
    <row r="39" spans="1:12" ht="49.95" customHeight="1" x14ac:dyDescent="0.3">
      <c r="A39" s="3" t="s">
        <v>102</v>
      </c>
      <c r="B39" s="2" t="s">
        <v>103</v>
      </c>
      <c r="C39" s="2"/>
      <c r="D39" s="2" t="s">
        <v>15</v>
      </c>
      <c r="E39" s="4" t="str">
        <f>IF(ISERROR("CENSUS_D"),"",HYPERLINK("#INDEX('Value Lookup'!A:A,MATCH(A" &amp; ROW() &amp; ",'Value Lookup'!A:A,0))","Value Lookup"))</f>
        <v>Value Lookup</v>
      </c>
      <c r="F39" s="4" t="str">
        <f>IF(ISERROR("CENSUS_D"),"",HYPERLINK("#INDEX('Frequencies'!A:A,MATCH(A" &amp; ROW() &amp; ",'Frequencies'!A:A,0))","Frequencies"))</f>
        <v>Frequencies</v>
      </c>
      <c r="G39" s="2">
        <v>85</v>
      </c>
      <c r="H39" s="2"/>
      <c r="I39" s="2"/>
      <c r="J39" s="2"/>
      <c r="K39" s="2"/>
      <c r="L39" s="2"/>
    </row>
    <row r="40" spans="1:12" ht="49.95" customHeight="1" x14ac:dyDescent="0.3">
      <c r="A40" s="3" t="s">
        <v>104</v>
      </c>
      <c r="B40" s="2" t="s">
        <v>105</v>
      </c>
      <c r="C40" s="2"/>
      <c r="D40" s="2" t="s">
        <v>15</v>
      </c>
      <c r="E40" s="4" t="str">
        <f>IF(ISERROR("CENSUS_R"),"",HYPERLINK("#INDEX('Value Lookup'!A:A,MATCH(A" &amp; ROW() &amp; ",'Value Lookup'!A:A,0))","Value Lookup"))</f>
        <v>Value Lookup</v>
      </c>
      <c r="F40" s="4" t="str">
        <f>IF(ISERROR("CENSUS_R"),"",HYPERLINK("#INDEX('Frequencies'!A:A,MATCH(A" &amp; ROW() &amp; ",'Frequencies'!A:A,0))","Frequencies"))</f>
        <v>Frequencies</v>
      </c>
      <c r="G40" s="2">
        <v>86</v>
      </c>
      <c r="H40" s="2"/>
      <c r="I40" s="2"/>
      <c r="J40" s="2"/>
      <c r="K40" s="2"/>
      <c r="L40" s="2"/>
    </row>
    <row r="41" spans="1:12" ht="49.95" customHeight="1" x14ac:dyDescent="0.3">
      <c r="A41" s="3" t="s">
        <v>106</v>
      </c>
      <c r="B41" s="2" t="s">
        <v>107</v>
      </c>
      <c r="C41" s="2"/>
      <c r="D41" s="2" t="s">
        <v>15</v>
      </c>
      <c r="E41" s="4" t="str">
        <f>IF(ISERROR("CITY"),"",HYPERLINK("#INDEX('Value Lookup'!A:A,MATCH(A" &amp; ROW() &amp; ",'Value Lookup'!A:A,0))","Value Lookup"))</f>
        <v>Value Lookup</v>
      </c>
      <c r="F41" s="4" t="str">
        <f>IF(ISERROR("CITY"),"",HYPERLINK("#INDEX('Frequencies'!A:A,MATCH(A" &amp; ROW() &amp; ",'Frequencies'!A:A,0))","Frequencies"))</f>
        <v>Frequencies</v>
      </c>
      <c r="G41" s="2"/>
      <c r="H41" s="2"/>
      <c r="I41" s="2"/>
      <c r="J41" s="2"/>
      <c r="K41" s="2">
        <v>9</v>
      </c>
      <c r="L41" s="2"/>
    </row>
    <row r="42" spans="1:12" ht="49.95" customHeight="1" x14ac:dyDescent="0.3">
      <c r="A42" s="3" t="s">
        <v>108</v>
      </c>
      <c r="B42" s="2" t="s">
        <v>109</v>
      </c>
      <c r="C42" s="2"/>
      <c r="D42" s="2" t="s">
        <v>45</v>
      </c>
      <c r="E42" s="2" t="str">
        <f>IF(ISERROR("CNTTDHH"),"","NA")</f>
        <v>NA</v>
      </c>
      <c r="F42" s="4" t="str">
        <f>IF(ISERROR("CNTTDHH"),"",HYPERLINK("#INDEX('Frequencies'!A:A,MATCH(A" &amp; ROW() &amp; ",'Frequencies'!A:A,0))","Frequencies"))</f>
        <v>Frequencies</v>
      </c>
      <c r="G42" s="2">
        <v>67</v>
      </c>
      <c r="H42" s="2"/>
      <c r="I42" s="2"/>
      <c r="J42" s="2"/>
      <c r="K42" s="2"/>
      <c r="L42" s="2"/>
    </row>
    <row r="43" spans="1:12" ht="49.95" customHeight="1" x14ac:dyDescent="0.3">
      <c r="A43" s="3" t="s">
        <v>110</v>
      </c>
      <c r="B43" s="2" t="s">
        <v>111</v>
      </c>
      <c r="C43" s="2"/>
      <c r="D43" s="2" t="s">
        <v>45</v>
      </c>
      <c r="E43" s="2" t="str">
        <f>IF(ISERROR("CNTTDTR"),"","NA")</f>
        <v>NA</v>
      </c>
      <c r="F43" s="4" t="str">
        <f>IF(ISERROR("CNTTDTR"),"",HYPERLINK("#INDEX('Frequencies'!A:A,MATCH(A" &amp; ROW() &amp; ",'Frequencies'!A:A,0))","Frequencies"))</f>
        <v>Frequencies</v>
      </c>
      <c r="G43" s="2"/>
      <c r="H43" s="2">
        <v>137</v>
      </c>
      <c r="I43" s="2"/>
      <c r="J43" s="2"/>
      <c r="K43" s="2"/>
      <c r="L43" s="2"/>
    </row>
    <row r="44" spans="1:12" ht="49.95" customHeight="1" x14ac:dyDescent="0.3">
      <c r="A44" s="3" t="s">
        <v>112</v>
      </c>
      <c r="B44" s="2" t="s">
        <v>113</v>
      </c>
      <c r="C44" s="2"/>
      <c r="D44" s="2" t="s">
        <v>15</v>
      </c>
      <c r="E44" s="4" t="str">
        <f>IF(ISERROR("CNTYFIPS"),"",HYPERLINK("#INDEX('Value Lookup'!A:A,MATCH(A" &amp; ROW() &amp; ",'Value Lookup'!A:A,0))","Value Lookup"))</f>
        <v>Value Lookup</v>
      </c>
      <c r="F44" s="4" t="str">
        <f>IF(ISERROR("CNTYFIPS"),"",HYPERLINK("#INDEX('Frequencies'!A:A,MATCH(A" &amp; ROW() &amp; ",'Frequencies'!A:A,0))","Frequencies"))</f>
        <v>Frequencies</v>
      </c>
      <c r="G44" s="2"/>
      <c r="H44" s="2"/>
      <c r="I44" s="2"/>
      <c r="J44" s="2"/>
      <c r="K44" s="2">
        <v>16</v>
      </c>
      <c r="L44" s="2"/>
    </row>
    <row r="45" spans="1:12" ht="49.95" customHeight="1" x14ac:dyDescent="0.3">
      <c r="A45" s="3" t="s">
        <v>114</v>
      </c>
      <c r="B45" s="2" t="s">
        <v>115</v>
      </c>
      <c r="C45" s="2" t="s">
        <v>116</v>
      </c>
      <c r="D45" s="2" t="s">
        <v>15</v>
      </c>
      <c r="E45" s="4" t="str">
        <f>IF(ISERROR("CONDDK"),"",HYPERLINK("#INDEX('Value Lookup'!A:A,MATCH(A" &amp; ROW() &amp; ",'Value Lookup'!A:A,0))","Value Lookup"))</f>
        <v>Value Lookup</v>
      </c>
      <c r="F45" s="4" t="str">
        <f>IF(ISERROR("CONDDK"),"",HYPERLINK("#INDEX('Frequencies'!A:A,MATCH(A" &amp; ROW() &amp; ",'Frequencies'!A:A,0))","Frequencies"))</f>
        <v>Frequencies</v>
      </c>
      <c r="G45" s="2"/>
      <c r="H45" s="2">
        <v>125</v>
      </c>
      <c r="I45" s="2"/>
      <c r="J45" s="2"/>
      <c r="K45" s="2"/>
      <c r="L45" s="2"/>
    </row>
    <row r="46" spans="1:12" ht="49.95" customHeight="1" x14ac:dyDescent="0.3">
      <c r="A46" s="3" t="s">
        <v>117</v>
      </c>
      <c r="B46" s="2" t="s">
        <v>118</v>
      </c>
      <c r="C46" s="2" t="s">
        <v>116</v>
      </c>
      <c r="D46" s="2" t="s">
        <v>15</v>
      </c>
      <c r="E46" s="4" t="str">
        <f>IF(ISERROR("CONDNIGH"),"",HYPERLINK("#INDEX('Value Lookup'!A:A,MATCH(A" &amp; ROW() &amp; ",'Value Lookup'!A:A,0))","Value Lookup"))</f>
        <v>Value Lookup</v>
      </c>
      <c r="F46" s="4" t="str">
        <f>IF(ISERROR("CONDNIGH"),"",HYPERLINK("#INDEX('Frequencies'!A:A,MATCH(A" &amp; ROW() &amp; ",'Frequencies'!A:A,0))","Frequencies"))</f>
        <v>Frequencies</v>
      </c>
      <c r="G46" s="2"/>
      <c r="H46" s="2">
        <v>119</v>
      </c>
      <c r="I46" s="2"/>
      <c r="J46" s="2"/>
      <c r="K46" s="2"/>
      <c r="L46" s="2"/>
    </row>
    <row r="47" spans="1:12" ht="49.95" customHeight="1" x14ac:dyDescent="0.3">
      <c r="A47" s="3" t="s">
        <v>119</v>
      </c>
      <c r="B47" s="2" t="s">
        <v>120</v>
      </c>
      <c r="C47" s="2" t="s">
        <v>116</v>
      </c>
      <c r="D47" s="2" t="s">
        <v>15</v>
      </c>
      <c r="E47" s="4" t="str">
        <f>IF(ISERROR("CONDNONE"),"",HYPERLINK("#INDEX('Value Lookup'!A:A,MATCH(A" &amp; ROW() &amp; ",'Value Lookup'!A:A,0))","Value Lookup"))</f>
        <v>Value Lookup</v>
      </c>
      <c r="F47" s="4" t="str">
        <f>IF(ISERROR("CONDNONE"),"",HYPERLINK("#INDEX('Frequencies'!A:A,MATCH(A" &amp; ROW() &amp; ",'Frequencies'!A:A,0))","Frequencies"))</f>
        <v>Frequencies</v>
      </c>
      <c r="G47" s="2"/>
      <c r="H47" s="2">
        <v>124</v>
      </c>
      <c r="I47" s="2"/>
      <c r="J47" s="2"/>
      <c r="K47" s="2"/>
      <c r="L47" s="2"/>
    </row>
    <row r="48" spans="1:12" ht="49.95" customHeight="1" x14ac:dyDescent="0.3">
      <c r="A48" s="3" t="s">
        <v>121</v>
      </c>
      <c r="B48" s="2" t="s">
        <v>122</v>
      </c>
      <c r="C48" s="2" t="s">
        <v>116</v>
      </c>
      <c r="D48" s="2" t="s">
        <v>15</v>
      </c>
      <c r="E48" s="4" t="str">
        <f>IF(ISERROR("CONDPUB"),"",HYPERLINK("#INDEX('Value Lookup'!A:A,MATCH(A" &amp; ROW() &amp; ",'Value Lookup'!A:A,0))","Value Lookup"))</f>
        <v>Value Lookup</v>
      </c>
      <c r="F48" s="4" t="str">
        <f>IF(ISERROR("CONDPUB"),"",HYPERLINK("#INDEX('Frequencies'!A:A,MATCH(A" &amp; ROW() &amp; ",'Frequencies'!A:A,0))","Frequencies"))</f>
        <v>Frequencies</v>
      </c>
      <c r="G48" s="2"/>
      <c r="H48" s="2">
        <v>121</v>
      </c>
      <c r="I48" s="2"/>
      <c r="J48" s="2"/>
      <c r="K48" s="2"/>
      <c r="L48" s="2"/>
    </row>
    <row r="49" spans="1:12" ht="49.95" customHeight="1" x14ac:dyDescent="0.3">
      <c r="A49" s="3" t="s">
        <v>123</v>
      </c>
      <c r="B49" s="2" t="s">
        <v>124</v>
      </c>
      <c r="C49" s="2" t="s">
        <v>116</v>
      </c>
      <c r="D49" s="2" t="s">
        <v>15</v>
      </c>
      <c r="E49" s="4" t="str">
        <f>IF(ISERROR("CONDRF"),"",HYPERLINK("#INDEX('Value Lookup'!A:A,MATCH(A" &amp; ROW() &amp; ",'Value Lookup'!A:A,0))","Value Lookup"))</f>
        <v>Value Lookup</v>
      </c>
      <c r="F49" s="4" t="str">
        <f>IF(ISERROR("CONDRF"),"",HYPERLINK("#INDEX('Frequencies'!A:A,MATCH(A" &amp; ROW() &amp; ",'Frequencies'!A:A,0))","Frequencies"))</f>
        <v>Frequencies</v>
      </c>
      <c r="G49" s="2"/>
      <c r="H49" s="2">
        <v>126</v>
      </c>
      <c r="I49" s="2"/>
      <c r="J49" s="2"/>
      <c r="K49" s="2"/>
      <c r="L49" s="2"/>
    </row>
    <row r="50" spans="1:12" ht="49.95" customHeight="1" x14ac:dyDescent="0.3">
      <c r="A50" s="3" t="s">
        <v>125</v>
      </c>
      <c r="B50" s="2" t="s">
        <v>126</v>
      </c>
      <c r="C50" s="2" t="s">
        <v>116</v>
      </c>
      <c r="D50" s="2" t="s">
        <v>15</v>
      </c>
      <c r="E50" s="4" t="str">
        <f>IF(ISERROR("CONDRIDE"),"",HYPERLINK("#INDEX('Value Lookup'!A:A,MATCH(A" &amp; ROW() &amp; ",'Value Lookup'!A:A,0))","Value Lookup"))</f>
        <v>Value Lookup</v>
      </c>
      <c r="F50" s="4" t="str">
        <f>IF(ISERROR("CONDRIDE"),"",HYPERLINK("#INDEX('Frequencies'!A:A,MATCH(A" &amp; ROW() &amp; ",'Frequencies'!A:A,0))","Frequencies"))</f>
        <v>Frequencies</v>
      </c>
      <c r="G50" s="2"/>
      <c r="H50" s="2">
        <v>118</v>
      </c>
      <c r="I50" s="2"/>
      <c r="J50" s="2"/>
      <c r="K50" s="2"/>
      <c r="L50" s="2"/>
    </row>
    <row r="51" spans="1:12" ht="49.95" customHeight="1" x14ac:dyDescent="0.3">
      <c r="A51" s="3" t="s">
        <v>127</v>
      </c>
      <c r="B51" s="2" t="s">
        <v>128</v>
      </c>
      <c r="C51" s="2" t="s">
        <v>116</v>
      </c>
      <c r="D51" s="2" t="s">
        <v>15</v>
      </c>
      <c r="E51" s="4" t="str">
        <f>IF(ISERROR("CONDRIVE"),"",HYPERLINK("#INDEX('Value Lookup'!A:A,MATCH(A" &amp; ROW() &amp; ",'Value Lookup'!A:A,0))","Value Lookup"))</f>
        <v>Value Lookup</v>
      </c>
      <c r="F51" s="4" t="str">
        <f>IF(ISERROR("CONDRIVE"),"",HYPERLINK("#INDEX('Frequencies'!A:A,MATCH(A" &amp; ROW() &amp; ",'Frequencies'!A:A,0))","Frequencies"))</f>
        <v>Frequencies</v>
      </c>
      <c r="G51" s="2"/>
      <c r="H51" s="2">
        <v>120</v>
      </c>
      <c r="I51" s="2"/>
      <c r="J51" s="2"/>
      <c r="K51" s="2"/>
      <c r="L51" s="2"/>
    </row>
    <row r="52" spans="1:12" ht="49.95" customHeight="1" x14ac:dyDescent="0.3">
      <c r="A52" s="3" t="s">
        <v>129</v>
      </c>
      <c r="B52" s="2" t="s">
        <v>130</v>
      </c>
      <c r="C52" s="2" t="s">
        <v>116</v>
      </c>
      <c r="D52" s="2" t="s">
        <v>15</v>
      </c>
      <c r="E52" s="4" t="str">
        <f>IF(ISERROR("CONDSPEC"),"",HYPERLINK("#INDEX('Value Lookup'!A:A,MATCH(A" &amp; ROW() &amp; ",'Value Lookup'!A:A,0))","Value Lookup"))</f>
        <v>Value Lookup</v>
      </c>
      <c r="F52" s="4" t="str">
        <f>IF(ISERROR("CONDSPEC"),"",HYPERLINK("#INDEX('Frequencies'!A:A,MATCH(A" &amp; ROW() &amp; ",'Frequencies'!A:A,0))","Frequencies"))</f>
        <v>Frequencies</v>
      </c>
      <c r="G52" s="2"/>
      <c r="H52" s="2">
        <v>122</v>
      </c>
      <c r="I52" s="2"/>
      <c r="J52" s="2"/>
      <c r="K52" s="2"/>
      <c r="L52" s="2"/>
    </row>
    <row r="53" spans="1:12" ht="49.95" customHeight="1" x14ac:dyDescent="0.3">
      <c r="A53" s="3" t="s">
        <v>131</v>
      </c>
      <c r="B53" s="2" t="s">
        <v>132</v>
      </c>
      <c r="C53" s="2" t="s">
        <v>116</v>
      </c>
      <c r="D53" s="2" t="s">
        <v>15</v>
      </c>
      <c r="E53" s="4" t="str">
        <f>IF(ISERROR("CONDTAX"),"",HYPERLINK("#INDEX('Value Lookup'!A:A,MATCH(A" &amp; ROW() &amp; ",'Value Lookup'!A:A,0))","Value Lookup"))</f>
        <v>Value Lookup</v>
      </c>
      <c r="F53" s="4" t="str">
        <f>IF(ISERROR("CONDTAX"),"",HYPERLINK("#INDEX('Frequencies'!A:A,MATCH(A" &amp; ROW() &amp; ",'Frequencies'!A:A,0))","Frequencies"))</f>
        <v>Frequencies</v>
      </c>
      <c r="G53" s="2"/>
      <c r="H53" s="2">
        <v>123</v>
      </c>
      <c r="I53" s="2"/>
      <c r="J53" s="2"/>
      <c r="K53" s="2"/>
      <c r="L53" s="2"/>
    </row>
    <row r="54" spans="1:12" ht="49.95" customHeight="1" x14ac:dyDescent="0.3">
      <c r="A54" s="3" t="s">
        <v>133</v>
      </c>
      <c r="B54" s="2" t="s">
        <v>134</v>
      </c>
      <c r="C54" s="2" t="s">
        <v>116</v>
      </c>
      <c r="D54" s="2" t="s">
        <v>15</v>
      </c>
      <c r="E54" s="4" t="str">
        <f>IF(ISERROR("CONDTRAV"),"",HYPERLINK("#INDEX('Value Lookup'!A:A,MATCH(A" &amp; ROW() &amp; ",'Value Lookup'!A:A,0))","Value Lookup"))</f>
        <v>Value Lookup</v>
      </c>
      <c r="F54" s="4" t="str">
        <f>IF(ISERROR("CONDTRAV"),"",HYPERLINK("#INDEX('Frequencies'!A:A,MATCH(A" &amp; ROW() &amp; ",'Frequencies'!A:A,0))","Frequencies"))</f>
        <v>Frequencies</v>
      </c>
      <c r="G54" s="2"/>
      <c r="H54" s="2">
        <v>117</v>
      </c>
      <c r="I54" s="2"/>
      <c r="J54" s="2"/>
      <c r="K54" s="2"/>
      <c r="L54" s="2"/>
    </row>
    <row r="55" spans="1:12" ht="49.95" customHeight="1" x14ac:dyDescent="0.3">
      <c r="A55" s="3" t="s">
        <v>135</v>
      </c>
      <c r="B55" s="2" t="s">
        <v>136</v>
      </c>
      <c r="C55" s="2"/>
      <c r="D55" s="2" t="s">
        <v>15</v>
      </c>
      <c r="E55" s="2" t="str">
        <f>IF(ISERROR("COUNTRY"),"","NA")</f>
        <v>NA</v>
      </c>
      <c r="F55" s="4" t="str">
        <f>IF(ISERROR("COUNTRY"),"",HYPERLINK("#INDEX('Frequencies'!A:A,MATCH(A" &amp; ROW() &amp; ",'Frequencies'!A:A,0))","Frequencies"))</f>
        <v>Frequencies</v>
      </c>
      <c r="G55" s="2"/>
      <c r="H55" s="2"/>
      <c r="I55" s="2"/>
      <c r="J55" s="2"/>
      <c r="K55" s="2">
        <v>12</v>
      </c>
      <c r="L55" s="2"/>
    </row>
    <row r="56" spans="1:12" ht="49.95" customHeight="1" x14ac:dyDescent="0.3">
      <c r="A56" s="3" t="s">
        <v>137</v>
      </c>
      <c r="B56" s="2" t="s">
        <v>138</v>
      </c>
      <c r="C56" s="2"/>
      <c r="D56" s="2" t="s">
        <v>15</v>
      </c>
      <c r="E56" s="4" t="str">
        <f>IF(ISERROR("CSA"),"",HYPERLINK("#INDEX('Value Lookup'!A:A,MATCH(A" &amp; ROW() &amp; ",'Value Lookup'!A:A,0))","Value Lookup"))</f>
        <v>Value Lookup</v>
      </c>
      <c r="F56" s="4" t="str">
        <f>IF(ISERROR("CSA"),"",HYPERLINK("#INDEX('Frequencies'!A:A,MATCH(A" &amp; ROW() &amp; ",'Frequencies'!A:A,0))","Frequencies"))</f>
        <v>Frequencies</v>
      </c>
      <c r="G56" s="2"/>
      <c r="H56" s="2"/>
      <c r="I56" s="2"/>
      <c r="J56" s="2"/>
      <c r="K56" s="2">
        <v>20</v>
      </c>
      <c r="L56" s="2"/>
    </row>
    <row r="57" spans="1:12" ht="49.95" customHeight="1" x14ac:dyDescent="0.3">
      <c r="A57" s="3" t="s">
        <v>139</v>
      </c>
      <c r="B57" s="2" t="s">
        <v>140</v>
      </c>
      <c r="C57" s="2" t="s">
        <v>141</v>
      </c>
      <c r="D57" s="2" t="s">
        <v>45</v>
      </c>
      <c r="E57" s="2" t="str">
        <f>IF(ISERROR("DELIVER"),"","Range: 0 - 99")</f>
        <v>Range: 0 - 99</v>
      </c>
      <c r="F57" s="4" t="str">
        <f>IF(ISERROR("DELIVER"),"",HYPERLINK("#INDEX('Frequencies'!A:A,MATCH(A" &amp; ROW() &amp; ",'Frequencies'!A:A,0))","Frequencies"))</f>
        <v>Frequencies</v>
      </c>
      <c r="G57" s="2"/>
      <c r="H57" s="2">
        <v>67</v>
      </c>
      <c r="I57" s="2"/>
      <c r="J57" s="2"/>
      <c r="K57" s="2"/>
      <c r="L57" s="2"/>
    </row>
    <row r="58" spans="1:12" ht="49.95" customHeight="1" x14ac:dyDescent="0.3">
      <c r="A58" s="3" t="s">
        <v>142</v>
      </c>
      <c r="B58" s="2" t="s">
        <v>143</v>
      </c>
      <c r="C58" s="2"/>
      <c r="D58" s="2" t="s">
        <v>15</v>
      </c>
      <c r="E58" s="4" t="str">
        <f>IF(ISERROR("DIARY"),"",HYPERLINK("#INDEX('Value Lookup'!A:A,MATCH(A" &amp; ROW() &amp; ",'Value Lookup'!A:A,0))","Value Lookup"))</f>
        <v>Value Lookup</v>
      </c>
      <c r="F58" s="4" t="str">
        <f>IF(ISERROR("DIARY"),"",HYPERLINK("#INDEX('Frequencies'!A:A,MATCH(A" &amp; ROW() &amp; ",'Frequencies'!A:A,0))","Frequencies"))</f>
        <v>Frequencies</v>
      </c>
      <c r="G58" s="2"/>
      <c r="H58" s="2">
        <v>133</v>
      </c>
      <c r="I58" s="2"/>
      <c r="J58" s="2"/>
      <c r="K58" s="2"/>
      <c r="L58" s="2"/>
    </row>
    <row r="59" spans="1:12" ht="49.95" customHeight="1" x14ac:dyDescent="0.3">
      <c r="A59" s="3" t="s">
        <v>144</v>
      </c>
      <c r="B59" s="2" t="s">
        <v>145</v>
      </c>
      <c r="C59" s="2" t="s">
        <v>146</v>
      </c>
      <c r="D59" s="2" t="s">
        <v>15</v>
      </c>
      <c r="E59" s="4" t="str">
        <f>IF(ISERROR("DIARYCMP"),"",HYPERLINK("#INDEX('Value Lookup'!A:A,MATCH(A" &amp; ROW() &amp; ",'Value Lookup'!A:A,0))","Value Lookup"))</f>
        <v>Value Lookup</v>
      </c>
      <c r="F59" s="4" t="str">
        <f>IF(ISERROR("DIARYCMP"),"",HYPERLINK("#INDEX('Frequencies'!A:A,MATCH(A" &amp; ROW() &amp; ",'Frequencies'!A:A,0))","Frequencies"))</f>
        <v>Frequencies</v>
      </c>
      <c r="G59" s="2"/>
      <c r="H59" s="2">
        <v>65</v>
      </c>
      <c r="I59" s="2"/>
      <c r="J59" s="2"/>
      <c r="K59" s="2"/>
      <c r="L59" s="2"/>
    </row>
    <row r="60" spans="1:12" ht="49.95" customHeight="1" x14ac:dyDescent="0.3">
      <c r="A60" s="3" t="s">
        <v>147</v>
      </c>
      <c r="B60" s="2" t="s">
        <v>148</v>
      </c>
      <c r="C60" s="2" t="s">
        <v>149</v>
      </c>
      <c r="D60" s="2" t="s">
        <v>15</v>
      </c>
      <c r="E60" s="4" t="str">
        <f>IF(ISERROR("DIARYHAV"),"",HYPERLINK("#INDEX('Value Lookup'!A:A,MATCH(A" &amp; ROW() &amp; ",'Value Lookup'!A:A,0))","Value Lookup"))</f>
        <v>Value Lookup</v>
      </c>
      <c r="F60" s="4" t="str">
        <f>IF(ISERROR("DIARYHAV"),"",HYPERLINK("#INDEX('Frequencies'!A:A,MATCH(A" &amp; ROW() &amp; ",'Frequencies'!A:A,0))","Frequencies"))</f>
        <v>Frequencies</v>
      </c>
      <c r="G60" s="2"/>
      <c r="H60" s="2">
        <v>66</v>
      </c>
      <c r="I60" s="2"/>
      <c r="J60" s="2"/>
      <c r="K60" s="2"/>
      <c r="L60" s="2"/>
    </row>
    <row r="61" spans="1:12" ht="49.95" customHeight="1" x14ac:dyDescent="0.3">
      <c r="A61" s="3" t="s">
        <v>150</v>
      </c>
      <c r="B61" s="2" t="s">
        <v>151</v>
      </c>
      <c r="C61" s="2"/>
      <c r="D61" s="2" t="s">
        <v>45</v>
      </c>
      <c r="E61" s="2" t="str">
        <f>IF(ISERROR("DIFFDATE"),"","NA")</f>
        <v>NA</v>
      </c>
      <c r="F61" s="4" t="str">
        <f>IF(ISERROR("DIFFDATE"),"",HYPERLINK("#INDEX('Frequencies'!A:A,MATCH(A" &amp; ROW() &amp; ",'Frequencies'!A:A,0))","Frequencies"))</f>
        <v>Frequencies</v>
      </c>
      <c r="G61" s="2">
        <v>3</v>
      </c>
      <c r="H61" s="2"/>
      <c r="I61" s="2"/>
      <c r="J61" s="2"/>
      <c r="K61" s="2"/>
      <c r="L61" s="2"/>
    </row>
    <row r="62" spans="1:12" ht="49.95" customHeight="1" x14ac:dyDescent="0.3">
      <c r="A62" s="3" t="s">
        <v>152</v>
      </c>
      <c r="B62" s="2" t="s">
        <v>153</v>
      </c>
      <c r="C62" s="2"/>
      <c r="D62" s="2" t="s">
        <v>45</v>
      </c>
      <c r="E62" s="4" t="str">
        <f>IF(ISERROR("DISTTOSC17"),"",HYPERLINK("#INDEX('Value Lookup'!A:A,MATCH(A" &amp; ROW() &amp; ",'Value Lookup'!A:A,0))","Value Lookup"))</f>
        <v>Value Lookup</v>
      </c>
      <c r="F62" s="4" t="str">
        <f>IF(ISERROR("DISTTOSC17"),"",HYPERLINK("#INDEX('Frequencies'!A:A,MATCH(A" &amp; ROW() &amp; ",'Frequencies'!A:A,0))","Frequencies"))</f>
        <v>Frequencies</v>
      </c>
      <c r="G62" s="2"/>
      <c r="H62" s="2">
        <v>146</v>
      </c>
      <c r="I62" s="2"/>
      <c r="J62" s="2"/>
      <c r="K62" s="2"/>
      <c r="L62" s="2"/>
    </row>
    <row r="63" spans="1:12" ht="49.95" customHeight="1" x14ac:dyDescent="0.3">
      <c r="A63" s="3" t="s">
        <v>154</v>
      </c>
      <c r="B63" s="2" t="s">
        <v>155</v>
      </c>
      <c r="C63" s="2"/>
      <c r="D63" s="2" t="s">
        <v>45</v>
      </c>
      <c r="E63" s="4" t="str">
        <f>IF(ISERROR("DISTTOWK17"),"",HYPERLINK("#INDEX('Value Lookup'!A:A,MATCH(A" &amp; ROW() &amp; ",'Value Lookup'!A:A,0))","Value Lookup"))</f>
        <v>Value Lookup</v>
      </c>
      <c r="F63" s="4" t="str">
        <f>IF(ISERROR("DISTTOWK17"),"",HYPERLINK("#INDEX('Frequencies'!A:A,MATCH(A" &amp; ROW() &amp; ",'Frequencies'!A:A,0))","Frequencies"))</f>
        <v>Frequencies</v>
      </c>
      <c r="G63" s="2"/>
      <c r="H63" s="2">
        <v>145</v>
      </c>
      <c r="I63" s="2"/>
      <c r="J63" s="2"/>
      <c r="K63" s="2"/>
      <c r="L63" s="2"/>
    </row>
    <row r="64" spans="1:12" ht="49.95" customHeight="1" x14ac:dyDescent="0.3">
      <c r="A64" s="3" t="s">
        <v>156</v>
      </c>
      <c r="B64" s="2" t="s">
        <v>157</v>
      </c>
      <c r="C64" s="2"/>
      <c r="D64" s="2" t="s">
        <v>15</v>
      </c>
      <c r="E64" s="4" t="str">
        <f>IF(ISERROR("DRIVER"),"",HYPERLINK("#INDEX('Value Lookup'!A:A,MATCH(A" &amp; ROW() &amp; ",'Value Lookup'!A:A,0))","Value Lookup"))</f>
        <v>Value Lookup</v>
      </c>
      <c r="F64" s="4" t="str">
        <f>IF(ISERROR("DRIVER"),"",HYPERLINK("#INDEX('Frequencies'!A:A,MATCH(A" &amp; ROW() &amp; ",'Frequencies'!A:A,0))","Frequencies"))</f>
        <v>Frequencies</v>
      </c>
      <c r="G64" s="2"/>
      <c r="H64" s="2">
        <v>142</v>
      </c>
      <c r="I64" s="2"/>
      <c r="J64" s="2"/>
      <c r="K64" s="2"/>
      <c r="L64" s="2"/>
    </row>
    <row r="65" spans="1:12" ht="49.95" customHeight="1" x14ac:dyDescent="0.3">
      <c r="A65" s="3" t="s">
        <v>158</v>
      </c>
      <c r="B65" s="2" t="s">
        <v>159</v>
      </c>
      <c r="C65" s="2" t="s">
        <v>160</v>
      </c>
      <c r="D65" s="2" t="s">
        <v>15</v>
      </c>
      <c r="E65" s="4" t="str">
        <f>IF(ISERROR("DROP_PRK"),"",HYPERLINK("#INDEX('Value Lookup'!A:A,MATCH(A" &amp; ROW() &amp; ",'Value Lookup'!A:A,0))","Value Lookup"))</f>
        <v>Value Lookup</v>
      </c>
      <c r="F65" s="4" t="str">
        <f>IF(ISERROR("DROP_PRK"),"",HYPERLINK("#INDEX('Frequencies'!A:A,MATCH(A" &amp; ROW() &amp; ",'Frequencies'!A:A,0))","Frequencies"))</f>
        <v>Frequencies</v>
      </c>
      <c r="G65" s="2"/>
      <c r="H65" s="2"/>
      <c r="I65" s="2"/>
      <c r="J65" s="2">
        <v>31</v>
      </c>
      <c r="K65" s="2"/>
      <c r="L65" s="2"/>
    </row>
    <row r="66" spans="1:12" ht="49.95" customHeight="1" x14ac:dyDescent="0.3">
      <c r="A66" s="3" t="s">
        <v>161</v>
      </c>
      <c r="B66" s="2" t="s">
        <v>162</v>
      </c>
      <c r="C66" s="2" t="s">
        <v>163</v>
      </c>
      <c r="D66" s="2" t="s">
        <v>15</v>
      </c>
      <c r="E66" s="4" t="str">
        <f>IF(ISERROR("DRVR"),"",HYPERLINK("#INDEX('Value Lookup'!A:A,MATCH(A" &amp; ROW() &amp; ",'Value Lookup'!A:A,0))","Value Lookup"))</f>
        <v>Value Lookup</v>
      </c>
      <c r="F66" s="4" t="str">
        <f>IF(ISERROR("DRVR"),"",HYPERLINK("#INDEX('Frequencies'!A:A,MATCH(A" &amp; ROW() &amp; ",'Frequencies'!A:A,0))","Frequencies"))</f>
        <v>Frequencies</v>
      </c>
      <c r="G66" s="2"/>
      <c r="H66" s="2">
        <v>6</v>
      </c>
      <c r="I66" s="2"/>
      <c r="J66" s="2"/>
      <c r="K66" s="2"/>
      <c r="L66" s="2"/>
    </row>
    <row r="67" spans="1:12" ht="49.95" customHeight="1" x14ac:dyDescent="0.3">
      <c r="A67" s="3" t="s">
        <v>164</v>
      </c>
      <c r="B67" s="2" t="s">
        <v>165</v>
      </c>
      <c r="C67" s="2"/>
      <c r="D67" s="2" t="s">
        <v>45</v>
      </c>
      <c r="E67" s="2" t="str">
        <f>IF(ISERROR("DRVRCNT"),"","NA")</f>
        <v>NA</v>
      </c>
      <c r="F67" s="4" t="str">
        <f>IF(ISERROR("DRVRCNT"),"",HYPERLINK("#INDEX('Frequencies'!A:A,MATCH(A" &amp; ROW() &amp; ",'Frequencies'!A:A,0))","Frequencies"))</f>
        <v>Frequencies</v>
      </c>
      <c r="G67" s="2">
        <v>66</v>
      </c>
      <c r="H67" s="2"/>
      <c r="I67" s="2"/>
      <c r="J67" s="2"/>
      <c r="K67" s="2"/>
      <c r="L67" s="2"/>
    </row>
    <row r="68" spans="1:12" ht="49.95" customHeight="1" x14ac:dyDescent="0.3">
      <c r="A68" s="3" t="s">
        <v>166</v>
      </c>
      <c r="B68" s="2" t="s">
        <v>167</v>
      </c>
      <c r="C68" s="2"/>
      <c r="D68" s="2" t="s">
        <v>15</v>
      </c>
      <c r="E68" s="4" t="str">
        <f>IF(ISERROR("DRVR_FLG"),"",HYPERLINK("#INDEX('Value Lookup'!A:A,MATCH(A" &amp; ROW() &amp; ",'Value Lookup'!A:A,0))","Value Lookup"))</f>
        <v>Value Lookup</v>
      </c>
      <c r="F68" s="4" t="str">
        <f>IF(ISERROR("DRVR_FLG"),"",HYPERLINK("#INDEX('Frequencies'!A:A,MATCH(A" &amp; ROW() &amp; ",'Frequencies'!A:A,0))","Frequencies"))</f>
        <v>Frequencies</v>
      </c>
      <c r="G68" s="2"/>
      <c r="H68" s="2"/>
      <c r="I68" s="2"/>
      <c r="J68" s="2">
        <v>52</v>
      </c>
      <c r="K68" s="2"/>
      <c r="L68" s="2"/>
    </row>
    <row r="69" spans="1:12" ht="49.95" customHeight="1" x14ac:dyDescent="0.3">
      <c r="A69" s="3" t="s">
        <v>168</v>
      </c>
      <c r="B69" s="2" t="s">
        <v>169</v>
      </c>
      <c r="C69" s="2"/>
      <c r="D69" s="2" t="s">
        <v>15</v>
      </c>
      <c r="E69" s="4" t="str">
        <f>IF(ISERROR("DWELTIME"),"",HYPERLINK("#INDEX('Value Lookup'!A:A,MATCH(A" &amp; ROW() &amp; ",'Value Lookup'!A:A,0))","Value Lookup"))</f>
        <v>Value Lookup</v>
      </c>
      <c r="F69" s="4" t="str">
        <f>IF(ISERROR("DWELTIME"),"",HYPERLINK("#INDEX('Frequencies'!A:A,MATCH(A" &amp; ROW() &amp; ",'Frequencies'!A:A,0))","Frequencies"))</f>
        <v>Frequencies</v>
      </c>
      <c r="G69" s="2"/>
      <c r="H69" s="2"/>
      <c r="I69" s="2"/>
      <c r="J69" s="2">
        <v>48</v>
      </c>
      <c r="K69" s="2"/>
      <c r="L69" s="2"/>
    </row>
    <row r="70" spans="1:12" ht="49.95" customHeight="1" x14ac:dyDescent="0.3">
      <c r="A70" s="3" t="s">
        <v>170</v>
      </c>
      <c r="B70" s="2" t="s">
        <v>171</v>
      </c>
      <c r="C70" s="2" t="s">
        <v>172</v>
      </c>
      <c r="D70" s="2" t="s">
        <v>15</v>
      </c>
      <c r="E70" s="4" t="str">
        <f>IF(ISERROR("EDUC"),"",HYPERLINK("#INDEX('Value Lookup'!A:A,MATCH(A" &amp; ROW() &amp; ",'Value Lookup'!A:A,0))","Value Lookup"))</f>
        <v>Value Lookup</v>
      </c>
      <c r="F70" s="4" t="str">
        <f>IF(ISERROR("EDUC"),"",HYPERLINK("#INDEX('Frequencies'!A:A,MATCH(A" &amp; ROW() &amp; ",'Frequencies'!A:A,0))","Frequencies"))</f>
        <v>Frequencies</v>
      </c>
      <c r="G70" s="2"/>
      <c r="H70" s="2">
        <v>7</v>
      </c>
      <c r="I70" s="2"/>
      <c r="J70" s="2"/>
      <c r="K70" s="2"/>
      <c r="L70" s="2"/>
    </row>
    <row r="71" spans="1:12" ht="49.95" customHeight="1" x14ac:dyDescent="0.3">
      <c r="A71" s="3" t="s">
        <v>173</v>
      </c>
      <c r="B71" s="2" t="s">
        <v>174</v>
      </c>
      <c r="C71" s="2" t="s">
        <v>175</v>
      </c>
      <c r="D71" s="2" t="s">
        <v>15</v>
      </c>
      <c r="E71" s="2" t="str">
        <f>IF(ISERROR("ENDAMPM"),"","NA")</f>
        <v>NA</v>
      </c>
      <c r="F71" s="4" t="str">
        <f>IF(ISERROR("ENDAMPM"),"",HYPERLINK("#INDEX('Frequencies'!A:A,MATCH(A" &amp; ROW() &amp; ",'Frequencies'!A:A,0))","Frequencies"))</f>
        <v>Frequencies</v>
      </c>
      <c r="G71" s="2"/>
      <c r="H71" s="2"/>
      <c r="I71" s="2"/>
      <c r="J71" s="2">
        <v>15</v>
      </c>
      <c r="K71" s="2"/>
      <c r="L71" s="2"/>
    </row>
    <row r="72" spans="1:12" ht="49.95" customHeight="1" x14ac:dyDescent="0.3">
      <c r="A72" s="3" t="s">
        <v>176</v>
      </c>
      <c r="B72" s="2" t="s">
        <v>177</v>
      </c>
      <c r="C72" s="2" t="s">
        <v>175</v>
      </c>
      <c r="D72" s="2" t="s">
        <v>15</v>
      </c>
      <c r="E72" s="2" t="str">
        <f>IF(ISERROR("ENDHOUR"),"","NA")</f>
        <v>NA</v>
      </c>
      <c r="F72" s="4" t="str">
        <f>IF(ISERROR("ENDHOUR"),"",HYPERLINK("#INDEX('Frequencies'!A:A,MATCH(A" &amp; ROW() &amp; ",'Frequencies'!A:A,0))","Frequencies"))</f>
        <v>Frequencies</v>
      </c>
      <c r="G72" s="2"/>
      <c r="H72" s="2"/>
      <c r="I72" s="2"/>
      <c r="J72" s="2">
        <v>13</v>
      </c>
      <c r="K72" s="2"/>
      <c r="L72" s="2"/>
    </row>
    <row r="73" spans="1:12" ht="49.95" customHeight="1" x14ac:dyDescent="0.3">
      <c r="A73" s="3" t="s">
        <v>178</v>
      </c>
      <c r="B73" s="2" t="s">
        <v>179</v>
      </c>
      <c r="C73" s="2" t="s">
        <v>175</v>
      </c>
      <c r="D73" s="2" t="s">
        <v>15</v>
      </c>
      <c r="E73" s="2" t="str">
        <f>IF(ISERROR("ENDMINTE"),"","NA")</f>
        <v>NA</v>
      </c>
      <c r="F73" s="4" t="str">
        <f>IF(ISERROR("ENDMINTE"),"",HYPERLINK("#INDEX('Frequencies'!A:A,MATCH(A" &amp; ROW() &amp; ",'Frequencies'!A:A,0))","Frequencies"))</f>
        <v>Frequencies</v>
      </c>
      <c r="G73" s="2"/>
      <c r="H73" s="2"/>
      <c r="I73" s="2"/>
      <c r="J73" s="2">
        <v>14</v>
      </c>
      <c r="K73" s="2"/>
      <c r="L73" s="2"/>
    </row>
    <row r="74" spans="1:12" ht="49.95" customHeight="1" x14ac:dyDescent="0.3">
      <c r="A74" s="3" t="s">
        <v>180</v>
      </c>
      <c r="B74" s="2" t="s">
        <v>181</v>
      </c>
      <c r="C74" s="2" t="s">
        <v>175</v>
      </c>
      <c r="D74" s="2" t="s">
        <v>15</v>
      </c>
      <c r="E74" s="2" t="str">
        <f>IF(ISERROR("ENDTIME"),"","NA")</f>
        <v>NA</v>
      </c>
      <c r="F74" s="4" t="str">
        <f>IF(ISERROR("ENDTIME"),"",HYPERLINK("#INDEX('Frequencies'!A:A,MATCH(A" &amp; ROW() &amp; ",'Frequencies'!A:A,0))","Frequencies"))</f>
        <v>Frequencies</v>
      </c>
      <c r="G74" s="2"/>
      <c r="H74" s="2"/>
      <c r="I74" s="2"/>
      <c r="J74" s="2">
        <v>7</v>
      </c>
      <c r="K74" s="2"/>
      <c r="L74" s="2"/>
    </row>
    <row r="75" spans="1:12" ht="49.95" customHeight="1" x14ac:dyDescent="0.3">
      <c r="A75" s="3" t="s">
        <v>182</v>
      </c>
      <c r="B75" s="2" t="s">
        <v>183</v>
      </c>
      <c r="C75" s="2" t="s">
        <v>175</v>
      </c>
      <c r="D75" s="2" t="s">
        <v>15</v>
      </c>
      <c r="E75" s="2" t="str">
        <f>IF(ISERROR("ENDTIME17"),"","NA")</f>
        <v>NA</v>
      </c>
      <c r="F75" s="4" t="str">
        <f>IF(ISERROR("ENDTIME17"),"",HYPERLINK("#INDEX('Frequencies'!A:A,MATCH(A" &amp; ROW() &amp; ",'Frequencies'!A:A,0))","Frequencies"))</f>
        <v>Frequencies</v>
      </c>
      <c r="G75" s="2"/>
      <c r="H75" s="2"/>
      <c r="I75" s="2"/>
      <c r="J75" s="2">
        <v>9</v>
      </c>
      <c r="K75" s="2"/>
      <c r="L75" s="2"/>
    </row>
    <row r="76" spans="1:12" ht="49.95" customHeight="1" x14ac:dyDescent="0.3">
      <c r="A76" s="3" t="s">
        <v>184</v>
      </c>
      <c r="B76" s="2" t="s">
        <v>185</v>
      </c>
      <c r="C76" s="2" t="s">
        <v>186</v>
      </c>
      <c r="D76" s="2" t="s">
        <v>15</v>
      </c>
      <c r="E76" s="4" t="str">
        <f>IF(ISERROR("ESTMILE2"),"",HYPERLINK("#INDEX('Value Lookup'!A:A,MATCH(A" &amp; ROW() &amp; ",'Value Lookup'!A:A,0))","Value Lookup"))</f>
        <v>Value Lookup</v>
      </c>
      <c r="F76" s="4" t="str">
        <f>IF(ISERROR("ESTMILE2"),"",HYPERLINK("#INDEX('Frequencies'!A:A,MATCH(A" &amp; ROW() &amp; ",'Frequencies'!A:A,0))","Frequencies"))</f>
        <v>Frequencies</v>
      </c>
      <c r="G76" s="2"/>
      <c r="H76" s="2"/>
      <c r="I76" s="2">
        <v>28</v>
      </c>
      <c r="J76" s="2"/>
      <c r="K76" s="2"/>
      <c r="L76" s="2"/>
    </row>
    <row r="77" spans="1:12" ht="49.95" customHeight="1" x14ac:dyDescent="0.3">
      <c r="A77" s="3" t="s">
        <v>187</v>
      </c>
      <c r="B77" s="2" t="s">
        <v>188</v>
      </c>
      <c r="C77" s="2" t="s">
        <v>189</v>
      </c>
      <c r="D77" s="2" t="s">
        <v>45</v>
      </c>
      <c r="E77" s="2" t="str">
        <f>IF(ISERROR("ESTMILES"),"","Range: 0 - 200000")</f>
        <v>Range: 0 - 200000</v>
      </c>
      <c r="F77" s="4" t="str">
        <f>IF(ISERROR("ESTMILES"),"",HYPERLINK("#INDEX('Frequencies'!A:A,MATCH(A" &amp; ROW() &amp; ",'Frequencies'!A:A,0))","Frequencies"))</f>
        <v>Frequencies</v>
      </c>
      <c r="G77" s="2"/>
      <c r="H77" s="2"/>
      <c r="I77" s="2">
        <v>26</v>
      </c>
      <c r="J77" s="2"/>
      <c r="K77" s="2"/>
      <c r="L77" s="2"/>
    </row>
    <row r="78" spans="1:12" ht="49.95" customHeight="1" x14ac:dyDescent="0.3">
      <c r="A78" s="3" t="s">
        <v>190</v>
      </c>
      <c r="B78" s="2" t="s">
        <v>191</v>
      </c>
      <c r="C78" s="2"/>
      <c r="D78" s="2" t="s">
        <v>15</v>
      </c>
      <c r="E78" s="4" t="str">
        <f>IF(ISERROR("FLAG100"),"",HYPERLINK("#INDEX('Value Lookup'!A:A,MATCH(A" &amp; ROW() &amp; ",'Value Lookup'!A:A,0))","Value Lookup"))</f>
        <v>Value Lookup</v>
      </c>
      <c r="F78" s="4" t="str">
        <f>IF(ISERROR("FLAG100"),"",HYPERLINK("#INDEX('Frequencies'!A:A,MATCH(A" &amp; ROW() &amp; ",'Frequencies'!A:A,0))","Frequencies"))</f>
        <v>Frequencies</v>
      </c>
      <c r="G78" s="2">
        <v>92</v>
      </c>
      <c r="H78" s="2"/>
      <c r="I78" s="2"/>
      <c r="J78" s="2"/>
      <c r="K78" s="2"/>
      <c r="L78" s="2"/>
    </row>
    <row r="79" spans="1:12" ht="49.95" customHeight="1" x14ac:dyDescent="0.3">
      <c r="A79" s="3" t="s">
        <v>192</v>
      </c>
      <c r="B79" s="2" t="s">
        <v>193</v>
      </c>
      <c r="C79" s="2" t="s">
        <v>194</v>
      </c>
      <c r="D79" s="2" t="s">
        <v>15</v>
      </c>
      <c r="E79" s="4" t="str">
        <f>IF(ISERROR("FLEXTIME"),"",HYPERLINK("#INDEX('Value Lookup'!A:A,MATCH(A" &amp; ROW() &amp; ",'Value Lookup'!A:A,0))","Value Lookup"))</f>
        <v>Value Lookup</v>
      </c>
      <c r="F79" s="4" t="str">
        <f>IF(ISERROR("FLEXTIME"),"",HYPERLINK("#INDEX('Frequencies'!A:A,MATCH(A" &amp; ROW() &amp; ",'Frequencies'!A:A,0))","Frequencies"))</f>
        <v>Frequencies</v>
      </c>
      <c r="G79" s="2"/>
      <c r="H79" s="2">
        <v>59</v>
      </c>
      <c r="I79" s="2"/>
      <c r="J79" s="2"/>
      <c r="K79" s="2"/>
      <c r="L79" s="2"/>
    </row>
    <row r="80" spans="1:12" ht="49.95" customHeight="1" x14ac:dyDescent="0.3">
      <c r="A80" s="3" t="s">
        <v>195</v>
      </c>
      <c r="B80" s="2" t="s">
        <v>196</v>
      </c>
      <c r="C80" s="2"/>
      <c r="D80" s="2" t="s">
        <v>15</v>
      </c>
      <c r="E80" s="4" t="str">
        <f>IF(ISERROR("FRSTHM"),"",HYPERLINK("#INDEX('Value Lookup'!A:A,MATCH(A" &amp; ROW() &amp; ",'Value Lookup'!A:A,0))","Value Lookup"))</f>
        <v>Value Lookup</v>
      </c>
      <c r="F80" s="4" t="str">
        <f>IF(ISERROR("FRSTHM"),"",HYPERLINK("#INDEX('Frequencies'!A:A,MATCH(A" &amp; ROW() &amp; ",'Frequencies'!A:A,0))","Frequencies"))</f>
        <v>Frequencies</v>
      </c>
      <c r="G80" s="2"/>
      <c r="H80" s="2">
        <v>135</v>
      </c>
      <c r="I80" s="2"/>
      <c r="J80" s="2"/>
      <c r="K80" s="2"/>
      <c r="L80" s="2"/>
    </row>
    <row r="81" spans="1:12" ht="49.95" customHeight="1" x14ac:dyDescent="0.3">
      <c r="A81" s="3" t="s">
        <v>197</v>
      </c>
      <c r="B81" s="2" t="s">
        <v>198</v>
      </c>
      <c r="C81" s="2"/>
      <c r="D81" s="2" t="s">
        <v>15</v>
      </c>
      <c r="E81" s="4" t="str">
        <f>IF(ISERROR("FRSTHM17"),"",HYPERLINK("#INDEX('Value Lookup'!A:A,MATCH(A" &amp; ROW() &amp; ",'Value Lookup'!A:A,0))","Value Lookup"))</f>
        <v>Value Lookup</v>
      </c>
      <c r="F81" s="4" t="str">
        <f>IF(ISERROR("FRSTHM17"),"",HYPERLINK("#INDEX('Frequencies'!A:A,MATCH(A" &amp; ROW() &amp; ",'Frequencies'!A:A,0))","Frequencies"))</f>
        <v>Frequencies</v>
      </c>
      <c r="G81" s="2"/>
      <c r="H81" s="2">
        <v>136</v>
      </c>
      <c r="I81" s="2"/>
      <c r="J81" s="2"/>
      <c r="K81" s="2"/>
      <c r="L81" s="2"/>
    </row>
    <row r="82" spans="1:12" ht="49.95" customHeight="1" x14ac:dyDescent="0.3">
      <c r="A82" s="3" t="s">
        <v>199</v>
      </c>
      <c r="B82" s="2" t="s">
        <v>200</v>
      </c>
      <c r="C82" s="2" t="s">
        <v>201</v>
      </c>
      <c r="D82" s="2" t="s">
        <v>15</v>
      </c>
      <c r="E82" s="4" t="str">
        <f>IF(ISERROR("FUELTYPE"),"",HYPERLINK("#INDEX('Value Lookup'!A:A,MATCH(A" &amp; ROW() &amp; ",'Value Lookup'!A:A,0))","Value Lookup"))</f>
        <v>Value Lookup</v>
      </c>
      <c r="F82" s="4" t="str">
        <f>IF(ISERROR("FUELTYPE"),"",HYPERLINK("#INDEX('Frequencies'!A:A,MATCH(A" &amp; ROW() &amp; ",'Frequencies'!A:A,0))","Frequencies"))</f>
        <v>Frequencies</v>
      </c>
      <c r="G82" s="2"/>
      <c r="H82" s="2"/>
      <c r="I82" s="2">
        <v>9</v>
      </c>
      <c r="J82" s="2"/>
      <c r="K82" s="2"/>
      <c r="L82" s="2"/>
    </row>
    <row r="83" spans="1:12" ht="49.95" customHeight="1" x14ac:dyDescent="0.3">
      <c r="A83" s="3" t="s">
        <v>202</v>
      </c>
      <c r="B83" s="2" t="s">
        <v>203</v>
      </c>
      <c r="C83" s="2" t="s">
        <v>204</v>
      </c>
      <c r="D83" s="2" t="s">
        <v>15</v>
      </c>
      <c r="E83" s="4" t="str">
        <f>IF(ISERROR("FUELTYPE_O"),"",HYPERLINK("#INDEX('Value Lookup'!A:A,MATCH(A" &amp; ROW() &amp; ",'Value Lookup'!A:A,0))","Value Lookup"))</f>
        <v>Value Lookup</v>
      </c>
      <c r="F83" s="4" t="str">
        <f>IF(ISERROR("FUELTYPE_O"),"",HYPERLINK("#INDEX('Frequencies'!A:A,MATCH(A" &amp; ROW() &amp; ",'Frequencies'!A:A,0))","Frequencies"))</f>
        <v>Frequencies</v>
      </c>
      <c r="G83" s="2"/>
      <c r="H83" s="2"/>
      <c r="I83" s="2">
        <v>10</v>
      </c>
      <c r="J83" s="2"/>
      <c r="K83" s="2"/>
      <c r="L83" s="2"/>
    </row>
    <row r="84" spans="1:12" ht="49.95" customHeight="1" x14ac:dyDescent="0.3">
      <c r="A84" s="3" t="s">
        <v>205</v>
      </c>
      <c r="B84" s="2" t="s">
        <v>206</v>
      </c>
      <c r="C84" s="2"/>
      <c r="D84" s="2" t="s">
        <v>15</v>
      </c>
      <c r="E84" s="2" t="str">
        <f>IF(ISERROR("FULLADDR"),"","NA")</f>
        <v>NA</v>
      </c>
      <c r="F84" s="4" t="str">
        <f>IF(ISERROR("FULLADDR"),"",HYPERLINK("#INDEX('Frequencies'!A:A,MATCH(A" &amp; ROW() &amp; ",'Frequencies'!A:A,0))","Frequencies"))</f>
        <v>Frequencies</v>
      </c>
      <c r="G84" s="2"/>
      <c r="H84" s="2"/>
      <c r="I84" s="2"/>
      <c r="J84" s="2"/>
      <c r="K84" s="2">
        <v>13</v>
      </c>
      <c r="L84" s="2"/>
    </row>
    <row r="85" spans="1:12" ht="49.95" customHeight="1" x14ac:dyDescent="0.3">
      <c r="A85" s="3" t="s">
        <v>207</v>
      </c>
      <c r="B85" s="2" t="s">
        <v>208</v>
      </c>
      <c r="C85" s="2"/>
      <c r="D85" s="2" t="s">
        <v>15</v>
      </c>
      <c r="E85" s="4" t="str">
        <f>IF(ISERROR("FULLFIPS"),"",HYPERLINK("#INDEX('Value Lookup'!A:A,MATCH(A" &amp; ROW() &amp; ",'Value Lookup'!A:A,0))","Value Lookup"))</f>
        <v>Value Lookup</v>
      </c>
      <c r="F85" s="4" t="str">
        <f>IF(ISERROR("FULLFIPS"),"",HYPERLINK("#INDEX('Frequencies'!A:A,MATCH(A" &amp; ROW() &amp; ",'Frequencies'!A:A,0))","Frequencies"))</f>
        <v>Frequencies</v>
      </c>
      <c r="G85" s="2"/>
      <c r="H85" s="2"/>
      <c r="I85" s="2"/>
      <c r="J85" s="2"/>
      <c r="K85" s="2">
        <v>14</v>
      </c>
      <c r="L85" s="2"/>
    </row>
    <row r="86" spans="1:12" ht="49.95" customHeight="1" x14ac:dyDescent="0.3">
      <c r="A86" s="3" t="s">
        <v>209</v>
      </c>
      <c r="B86" s="2" t="s">
        <v>210</v>
      </c>
      <c r="C86" s="2"/>
      <c r="D86" s="2" t="s">
        <v>45</v>
      </c>
      <c r="E86" s="2" t="str">
        <f>IF(ISERROR("GASPRICE"),"","NA")</f>
        <v>NA</v>
      </c>
      <c r="F86" s="4" t="str">
        <f>IF(ISERROR("GASPRICE"),"",HYPERLINK("#INDEX('Frequencies'!A:A,MATCH(A" &amp; ROW() &amp; ",'Frequencies'!A:A,0))","Frequencies"))</f>
        <v>Frequencies</v>
      </c>
      <c r="G86" s="2">
        <v>82</v>
      </c>
      <c r="H86" s="2"/>
      <c r="I86" s="2"/>
      <c r="J86" s="2"/>
      <c r="K86" s="2"/>
      <c r="L86" s="2"/>
    </row>
    <row r="87" spans="1:12" ht="49.95" customHeight="1" x14ac:dyDescent="0.3">
      <c r="A87" s="3" t="s">
        <v>211</v>
      </c>
      <c r="B87" s="2" t="s">
        <v>212</v>
      </c>
      <c r="C87" s="2"/>
      <c r="D87" s="2" t="s">
        <v>45</v>
      </c>
      <c r="E87" s="4" t="str">
        <f>IF(ISERROR("GCDWORK"),"",HYPERLINK("#INDEX('Value Lookup'!A:A,MATCH(A" &amp; ROW() &amp; ",'Value Lookup'!A:A,0))","Value Lookup"))</f>
        <v>Value Lookup</v>
      </c>
      <c r="F87" s="4" t="str">
        <f>IF(ISERROR("GCDWORK"),"",HYPERLINK("#INDEX('Frequencies'!A:A,MATCH(A" &amp; ROW() &amp; ",'Frequencies'!A:A,0))","Frequencies"))</f>
        <v>Frequencies</v>
      </c>
      <c r="G87" s="2"/>
      <c r="H87" s="2">
        <v>138</v>
      </c>
      <c r="I87" s="2"/>
      <c r="J87" s="2"/>
      <c r="K87" s="2"/>
      <c r="L87" s="2"/>
    </row>
    <row r="88" spans="1:12" ht="49.95" customHeight="1" x14ac:dyDescent="0.3">
      <c r="A88" s="3" t="s">
        <v>213</v>
      </c>
      <c r="B88" s="2" t="s">
        <v>214</v>
      </c>
      <c r="C88" s="2" t="s">
        <v>215</v>
      </c>
      <c r="D88" s="2" t="s">
        <v>15</v>
      </c>
      <c r="E88" s="4" t="str">
        <f>IF(ISERROR("GT1JBLWK"),"",HYPERLINK("#INDEX('Value Lookup'!A:A,MATCH(A" &amp; ROW() &amp; ",'Value Lookup'!A:A,0))","Value Lookup"))</f>
        <v>Value Lookup</v>
      </c>
      <c r="F88" s="4" t="str">
        <f>IF(ISERROR("GT1JBLWK"),"",HYPERLINK("#INDEX('Frequencies'!A:A,MATCH(A" &amp; ROW() &amp; ",'Frequencies'!A:A,0))","Frequencies"))</f>
        <v>Frequencies</v>
      </c>
      <c r="G88" s="2"/>
      <c r="H88" s="2">
        <v>14</v>
      </c>
      <c r="I88" s="2"/>
      <c r="J88" s="2"/>
      <c r="K88" s="2"/>
      <c r="L88" s="2"/>
    </row>
    <row r="89" spans="1:12" ht="49.95" customHeight="1" x14ac:dyDescent="0.3">
      <c r="A89" s="3" t="s">
        <v>216</v>
      </c>
      <c r="B89" s="2" t="s">
        <v>217</v>
      </c>
      <c r="C89" s="2"/>
      <c r="D89" s="2" t="s">
        <v>15</v>
      </c>
      <c r="E89" s="4" t="str">
        <f>IF(ISERROR("HBHTNRNT"),"",HYPERLINK("#INDEX('Value Lookup'!A:A,MATCH(A" &amp; ROW() &amp; ",'Value Lookup'!A:A,0))","Value Lookup"))</f>
        <v>Value Lookup</v>
      </c>
      <c r="F89" s="4" t="str">
        <f>IF(ISERROR("HBHTNRNT"),"",HYPERLINK("#INDEX('Frequencies'!A:A,MATCH(A" &amp; ROW() &amp; ",'Frequencies'!A:A,0))","Frequencies"))</f>
        <v>Frequencies</v>
      </c>
      <c r="G89" s="2">
        <v>93</v>
      </c>
      <c r="H89" s="2"/>
      <c r="I89" s="2"/>
      <c r="J89" s="2"/>
      <c r="K89" s="2"/>
      <c r="L89" s="2"/>
    </row>
    <row r="90" spans="1:12" ht="49.95" customHeight="1" x14ac:dyDescent="0.3">
      <c r="A90" s="3" t="s">
        <v>218</v>
      </c>
      <c r="B90" s="2" t="s">
        <v>219</v>
      </c>
      <c r="C90" s="2"/>
      <c r="D90" s="2" t="s">
        <v>45</v>
      </c>
      <c r="E90" s="4" t="str">
        <f>IF(ISERROR("HBHTNRNT17"),"",HYPERLINK("#INDEX('Value Lookup'!A:A,MATCH(A" &amp; ROW() &amp; ",'Value Lookup'!A:A,0))","Value Lookup"))</f>
        <v>Value Lookup</v>
      </c>
      <c r="F90" s="4" t="str">
        <f>IF(ISERROR("HBHTNRNT17"),"",HYPERLINK("#INDEX('Frequencies'!A:A,MATCH(A" &amp; ROW() &amp; ",'Frequencies'!A:A,0))","Frequencies"))</f>
        <v>Frequencies</v>
      </c>
      <c r="G90" s="2">
        <v>100</v>
      </c>
      <c r="H90" s="2"/>
      <c r="I90" s="2"/>
      <c r="J90" s="2"/>
      <c r="K90" s="2"/>
      <c r="L90" s="2"/>
    </row>
    <row r="91" spans="1:12" ht="49.95" customHeight="1" x14ac:dyDescent="0.3">
      <c r="A91" s="3" t="s">
        <v>220</v>
      </c>
      <c r="B91" s="2" t="s">
        <v>221</v>
      </c>
      <c r="C91" s="2"/>
      <c r="D91" s="2" t="s">
        <v>15</v>
      </c>
      <c r="E91" s="4" t="str">
        <f>IF(ISERROR("HBPPOPDN"),"",HYPERLINK("#INDEX('Value Lookup'!A:A,MATCH(A" &amp; ROW() &amp; ",'Value Lookup'!A:A,0))","Value Lookup"))</f>
        <v>Value Lookup</v>
      </c>
      <c r="F91" s="4" t="str">
        <f>IF(ISERROR("HBPPOPDN"),"",HYPERLINK("#INDEX('Frequencies'!A:A,MATCH(A" &amp; ROW() &amp; ",'Frequencies'!A:A,0))","Frequencies"))</f>
        <v>Frequencies</v>
      </c>
      <c r="G91" s="2">
        <v>94</v>
      </c>
      <c r="H91" s="2"/>
      <c r="I91" s="2"/>
      <c r="J91" s="2"/>
      <c r="K91" s="2"/>
      <c r="L91" s="2"/>
    </row>
    <row r="92" spans="1:12" ht="49.95" customHeight="1" x14ac:dyDescent="0.3">
      <c r="A92" s="3" t="s">
        <v>222</v>
      </c>
      <c r="B92" s="2" t="s">
        <v>223</v>
      </c>
      <c r="C92" s="2"/>
      <c r="D92" s="2" t="s">
        <v>45</v>
      </c>
      <c r="E92" s="2" t="str">
        <f>IF(ISERROR("HBPPOPDN17"),"","NA")</f>
        <v>NA</v>
      </c>
      <c r="F92" s="4" t="str">
        <f>IF(ISERROR("HBPPOPDN17"),"",HYPERLINK("#INDEX('Frequencies'!A:A,MATCH(A" &amp; ROW() &amp; ",'Frequencies'!A:A,0))","Frequencies"))</f>
        <v>Frequencies</v>
      </c>
      <c r="G92" s="2">
        <v>101</v>
      </c>
      <c r="H92" s="2"/>
      <c r="I92" s="2"/>
      <c r="J92" s="2"/>
      <c r="K92" s="2"/>
      <c r="L92" s="2"/>
    </row>
    <row r="93" spans="1:12" ht="49.95" customHeight="1" x14ac:dyDescent="0.3">
      <c r="A93" s="3" t="s">
        <v>224</v>
      </c>
      <c r="B93" s="2" t="s">
        <v>225</v>
      </c>
      <c r="C93" s="2"/>
      <c r="D93" s="2" t="s">
        <v>15</v>
      </c>
      <c r="E93" s="4" t="str">
        <f>IF(ISERROR("HBRESDN"),"",HYPERLINK("#INDEX('Value Lookup'!A:A,MATCH(A" &amp; ROW() &amp; ",'Value Lookup'!A:A,0))","Value Lookup"))</f>
        <v>Value Lookup</v>
      </c>
      <c r="F93" s="4" t="str">
        <f>IF(ISERROR("HBRESDN"),"",HYPERLINK("#INDEX('Frequencies'!A:A,MATCH(A" &amp; ROW() &amp; ",'Frequencies'!A:A,0))","Frequencies"))</f>
        <v>Frequencies</v>
      </c>
      <c r="G93" s="2">
        <v>95</v>
      </c>
      <c r="H93" s="2"/>
      <c r="I93" s="2"/>
      <c r="J93" s="2"/>
      <c r="K93" s="2"/>
      <c r="L93" s="2"/>
    </row>
    <row r="94" spans="1:12" ht="49.95" customHeight="1" x14ac:dyDescent="0.3">
      <c r="A94" s="3" t="s">
        <v>226</v>
      </c>
      <c r="B94" s="2" t="s">
        <v>227</v>
      </c>
      <c r="C94" s="2"/>
      <c r="D94" s="2" t="s">
        <v>45</v>
      </c>
      <c r="E94" s="2" t="str">
        <f>IF(ISERROR("HBRESDN17"),"","NA")</f>
        <v>NA</v>
      </c>
      <c r="F94" s="4" t="str">
        <f>IF(ISERROR("HBRESDN17"),"",HYPERLINK("#INDEX('Frequencies'!A:A,MATCH(A" &amp; ROW() &amp; ",'Frequencies'!A:A,0))","Frequencies"))</f>
        <v>Frequencies</v>
      </c>
      <c r="G94" s="2">
        <v>102</v>
      </c>
      <c r="H94" s="2"/>
      <c r="I94" s="2"/>
      <c r="J94" s="2"/>
      <c r="K94" s="2"/>
      <c r="L94" s="2"/>
    </row>
    <row r="95" spans="1:12" ht="49.95" customHeight="1" x14ac:dyDescent="0.3">
      <c r="A95" s="3" t="s">
        <v>228</v>
      </c>
      <c r="B95" s="2" t="s">
        <v>229</v>
      </c>
      <c r="C95" s="2" t="s">
        <v>230</v>
      </c>
      <c r="D95" s="2" t="s">
        <v>15</v>
      </c>
      <c r="E95" s="4" t="str">
        <f>IF(ISERROR("HEALTH"),"",HYPERLINK("#INDEX('Value Lookup'!A:A,MATCH(A" &amp; ROW() &amp; ",'Value Lookup'!A:A,0))","Value Lookup"))</f>
        <v>Value Lookup</v>
      </c>
      <c r="F95" s="4" t="str">
        <f>IF(ISERROR("HEALTH"),"",HYPERLINK("#INDEX('Frequencies'!A:A,MATCH(A" &amp; ROW() &amp; ",'Frequencies'!A:A,0))","Frequencies"))</f>
        <v>Frequencies</v>
      </c>
      <c r="G95" s="2"/>
      <c r="H95" s="2">
        <v>70</v>
      </c>
      <c r="I95" s="2"/>
      <c r="J95" s="2"/>
      <c r="K95" s="2"/>
      <c r="L95" s="2"/>
    </row>
    <row r="96" spans="1:12" ht="49.95" customHeight="1" x14ac:dyDescent="0.3">
      <c r="A96" s="3" t="s">
        <v>231</v>
      </c>
      <c r="B96" s="2" t="s">
        <v>232</v>
      </c>
      <c r="C96" s="2" t="s">
        <v>233</v>
      </c>
      <c r="D96" s="2" t="s">
        <v>15</v>
      </c>
      <c r="E96" s="4" t="str">
        <f>IF(ISERROR("HFUEL"),"",HYPERLINK("#INDEX('Value Lookup'!A:A,MATCH(A" &amp; ROW() &amp; ",'Value Lookup'!A:A,0))","Value Lookup"))</f>
        <v>Value Lookup</v>
      </c>
      <c r="F96" s="4" t="str">
        <f>IF(ISERROR("HFUEL"),"",HYPERLINK("#INDEX('Frequencies'!A:A,MATCH(A" &amp; ROW() &amp; ",'Frequencies'!A:A,0))","Frequencies"))</f>
        <v>Frequencies</v>
      </c>
      <c r="G96" s="2"/>
      <c r="H96" s="2"/>
      <c r="I96" s="2">
        <v>19</v>
      </c>
      <c r="J96" s="2"/>
      <c r="K96" s="2"/>
      <c r="L96" s="2"/>
    </row>
    <row r="97" spans="1:12" ht="49.95" customHeight="1" x14ac:dyDescent="0.3">
      <c r="A97" s="3" t="s">
        <v>234</v>
      </c>
      <c r="B97" s="2" t="s">
        <v>235</v>
      </c>
      <c r="C97" s="2" t="s">
        <v>236</v>
      </c>
      <c r="D97" s="2" t="s">
        <v>15</v>
      </c>
      <c r="E97" s="4" t="str">
        <f>IF(ISERROR("HFUEL_O"),"",HYPERLINK("#INDEX('Value Lookup'!A:A,MATCH(A" &amp; ROW() &amp; ",'Value Lookup'!A:A,0))","Value Lookup"))</f>
        <v>Value Lookup</v>
      </c>
      <c r="F97" s="4" t="str">
        <f>IF(ISERROR("HFUEL_O"),"",HYPERLINK("#INDEX('Frequencies'!A:A,MATCH(A" &amp; ROW() &amp; ",'Frequencies'!A:A,0))","Frequencies"))</f>
        <v>Frequencies</v>
      </c>
      <c r="G97" s="2"/>
      <c r="H97" s="2"/>
      <c r="I97" s="2">
        <v>20</v>
      </c>
      <c r="J97" s="2"/>
      <c r="K97" s="2"/>
      <c r="L97" s="2"/>
    </row>
    <row r="98" spans="1:12" ht="49.95" customHeight="1" x14ac:dyDescent="0.3">
      <c r="A98" s="3" t="s">
        <v>237</v>
      </c>
      <c r="B98" s="2" t="s">
        <v>238</v>
      </c>
      <c r="C98" s="2"/>
      <c r="D98" s="2" t="s">
        <v>15</v>
      </c>
      <c r="E98" s="4" t="str">
        <f>IF(ISERROR("HH_CBSA"),"",HYPERLINK("#INDEX('Value Lookup'!A:A,MATCH(A" &amp; ROW() &amp; ",'Value Lookup'!A:A,0))","Value Lookup"))</f>
        <v>Value Lookup</v>
      </c>
      <c r="F98" s="4" t="str">
        <f>IF(ISERROR("HH_CBSA"),"",HYPERLINK("#INDEX('Frequencies'!A:A,MATCH(A" &amp; ROW() &amp; ",'Frequencies'!A:A,0))","Frequencies"))</f>
        <v>Frequencies</v>
      </c>
      <c r="G98" s="2">
        <v>90</v>
      </c>
      <c r="H98" s="2"/>
      <c r="I98" s="2"/>
      <c r="J98" s="2"/>
      <c r="K98" s="2"/>
      <c r="L98" s="2"/>
    </row>
    <row r="99" spans="1:12" ht="49.95" customHeight="1" x14ac:dyDescent="0.3">
      <c r="A99" s="3" t="s">
        <v>239</v>
      </c>
      <c r="B99" s="2" t="s">
        <v>240</v>
      </c>
      <c r="C99" s="2" t="s">
        <v>241</v>
      </c>
      <c r="D99" s="2" t="s">
        <v>15</v>
      </c>
      <c r="E99" s="4" t="str">
        <f>IF(ISERROR("HHFAMINC"),"",HYPERLINK("#INDEX('Value Lookup'!A:A,MATCH(A" &amp; ROW() &amp; ",'Value Lookup'!A:A,0))","Value Lookup"))</f>
        <v>Value Lookup</v>
      </c>
      <c r="F99" s="4" t="str">
        <f>IF(ISERROR("HHFAMINC"),"",HYPERLINK("#INDEX('Frequencies'!A:A,MATCH(A" &amp; ROW() &amp; ",'Frequencies'!A:A,0))","Frequencies"))</f>
        <v>Frequencies</v>
      </c>
      <c r="G99" s="2">
        <v>15</v>
      </c>
      <c r="H99" s="2"/>
      <c r="I99" s="2"/>
      <c r="J99" s="2"/>
      <c r="K99" s="2"/>
      <c r="L99" s="2"/>
    </row>
    <row r="100" spans="1:12" ht="49.95" customHeight="1" x14ac:dyDescent="0.3">
      <c r="A100" s="3" t="s">
        <v>242</v>
      </c>
      <c r="B100" s="2" t="s">
        <v>243</v>
      </c>
      <c r="C100" s="2"/>
      <c r="D100" s="2" t="s">
        <v>15</v>
      </c>
      <c r="E100" s="4" t="str">
        <f>IF(ISERROR("HH_HISP"),"",HYPERLINK("#INDEX('Value Lookup'!A:A,MATCH(A" &amp; ROW() &amp; ",'Value Lookup'!A:A,0))","Value Lookup"))</f>
        <v>Value Lookup</v>
      </c>
      <c r="F100" s="4" t="str">
        <f>IF(ISERROR("HH_HISP"),"",HYPERLINK("#INDEX('Frequencies'!A:A,MATCH(A" &amp; ROW() &amp; ",'Frequencies'!A:A,0))","Frequencies"))</f>
        <v>Frequencies</v>
      </c>
      <c r="G100" s="2">
        <v>89</v>
      </c>
      <c r="H100" s="2"/>
      <c r="I100" s="2"/>
      <c r="J100" s="2"/>
      <c r="K100" s="2"/>
      <c r="L100" s="2"/>
    </row>
    <row r="101" spans="1:12" ht="49.95" customHeight="1" x14ac:dyDescent="0.3">
      <c r="A101" s="3" t="s">
        <v>244</v>
      </c>
      <c r="B101" s="2" t="s">
        <v>245</v>
      </c>
      <c r="C101" s="2"/>
      <c r="D101" s="2" t="s">
        <v>15</v>
      </c>
      <c r="E101" s="4" t="str">
        <f>IF(ISERROR("HHMEMDRV"),"",HYPERLINK("#INDEX('Value Lookup'!A:A,MATCH(A" &amp; ROW() &amp; ",'Value Lookup'!A:A,0))","Value Lookup"))</f>
        <v>Value Lookup</v>
      </c>
      <c r="F101" s="4" t="str">
        <f>IF(ISERROR("HHMEMDRV"),"",HYPERLINK("#INDEX('Frequencies'!A:A,MATCH(A" &amp; ROW() &amp; ",'Frequencies'!A:A,0))","Frequencies"))</f>
        <v>Frequencies</v>
      </c>
      <c r="G101" s="2"/>
      <c r="H101" s="2"/>
      <c r="I101" s="2"/>
      <c r="J101" s="2">
        <v>41</v>
      </c>
      <c r="K101" s="2"/>
      <c r="L101" s="2"/>
    </row>
    <row r="102" spans="1:12" ht="49.95" customHeight="1" x14ac:dyDescent="0.3">
      <c r="A102" s="3" t="s">
        <v>246</v>
      </c>
      <c r="B102" s="2" t="s">
        <v>247</v>
      </c>
      <c r="C102" s="2"/>
      <c r="D102" s="2" t="s">
        <v>15</v>
      </c>
      <c r="E102" s="4" t="str">
        <f>IF(ISERROR("HH_ONTD"),"",HYPERLINK("#INDEX('Value Lookup'!A:A,MATCH(A" &amp; ROW() &amp; ",'Value Lookup'!A:A,0))","Value Lookup"))</f>
        <v>Value Lookup</v>
      </c>
      <c r="F102" s="4" t="str">
        <f>IF(ISERROR("HH_ONTD"),"",HYPERLINK("#INDEX('Frequencies'!A:A,MATCH(A" &amp; ROW() &amp; ",'Frequencies'!A:A,0))","Frequencies"))</f>
        <v>Frequencies</v>
      </c>
      <c r="G102" s="2"/>
      <c r="H102" s="2"/>
      <c r="I102" s="2"/>
      <c r="J102" s="2">
        <v>42</v>
      </c>
      <c r="K102" s="2"/>
      <c r="L102" s="2"/>
    </row>
    <row r="103" spans="1:12" ht="49.95" customHeight="1" x14ac:dyDescent="0.3">
      <c r="A103" s="3" t="s">
        <v>248</v>
      </c>
      <c r="B103" s="2" t="s">
        <v>249</v>
      </c>
      <c r="C103" s="2"/>
      <c r="D103" s="2" t="s">
        <v>15</v>
      </c>
      <c r="E103" s="4" t="str">
        <f>IF(ISERROR("HH_RACE"),"",HYPERLINK("#INDEX('Value Lookup'!A:A,MATCH(A" &amp; ROW() &amp; ",'Value Lookup'!A:A,0))","Value Lookup"))</f>
        <v>Value Lookup</v>
      </c>
      <c r="F103" s="4" t="str">
        <f>IF(ISERROR("HH_RACE"),"",HYPERLINK("#INDEX('Frequencies'!A:A,MATCH(A" &amp; ROW() &amp; ",'Frequencies'!A:A,0))","Frequencies"))</f>
        <v>Frequencies</v>
      </c>
      <c r="G103" s="2">
        <v>88</v>
      </c>
      <c r="H103" s="2"/>
      <c r="I103" s="2"/>
      <c r="J103" s="2"/>
      <c r="K103" s="2"/>
      <c r="L103" s="2"/>
    </row>
    <row r="104" spans="1:12" ht="49.95" customHeight="1" x14ac:dyDescent="0.3">
      <c r="A104" s="3" t="s">
        <v>250</v>
      </c>
      <c r="B104" s="2" t="s">
        <v>251</v>
      </c>
      <c r="C104" s="2"/>
      <c r="D104" s="2" t="s">
        <v>15</v>
      </c>
      <c r="E104" s="2" t="str">
        <f>IF(ISERROR("HHRELATD"),"","NA")</f>
        <v>NA</v>
      </c>
      <c r="F104" s="4" t="str">
        <f>IF(ISERROR("HHRELATD"),"",HYPERLINK("#INDEX('Frequencies'!A:A,MATCH(A" &amp; ROW() &amp; ",'Frequencies'!A:A,0))","Frequencies"))</f>
        <v>Frequencies</v>
      </c>
      <c r="G104" s="2">
        <v>65</v>
      </c>
      <c r="H104" s="2"/>
      <c r="I104" s="2"/>
      <c r="J104" s="2"/>
      <c r="K104" s="2"/>
      <c r="L104" s="2"/>
    </row>
    <row r="105" spans="1:12" ht="49.95" customHeight="1" x14ac:dyDescent="0.3">
      <c r="A105" s="3" t="s">
        <v>252</v>
      </c>
      <c r="B105" s="2" t="s">
        <v>253</v>
      </c>
      <c r="C105" s="2" t="s">
        <v>254</v>
      </c>
      <c r="D105" s="2" t="s">
        <v>15</v>
      </c>
      <c r="E105" s="4" t="str">
        <f>IF(ISERROR("HHRESP"),"",HYPERLINK("#INDEX('Value Lookup'!A:A,MATCH(A" &amp; ROW() &amp; ",'Value Lookup'!A:A,0))","Value Lookup"))</f>
        <v>Value Lookup</v>
      </c>
      <c r="F105" s="4" t="str">
        <f>IF(ISERROR("HHRESP"),"",HYPERLINK("#INDEX('Frequencies'!A:A,MATCH(A" &amp; ROW() &amp; ",'Frequencies'!A:A,0))","Frequencies"))</f>
        <v>Frequencies</v>
      </c>
      <c r="G105" s="2">
        <v>74</v>
      </c>
      <c r="H105" s="2"/>
      <c r="I105" s="2"/>
      <c r="J105" s="2"/>
      <c r="K105" s="2"/>
      <c r="L105" s="2"/>
    </row>
    <row r="106" spans="1:12" ht="49.95" customHeight="1" x14ac:dyDescent="0.3">
      <c r="A106" s="3" t="s">
        <v>255</v>
      </c>
      <c r="B106" s="2" t="s">
        <v>256</v>
      </c>
      <c r="C106" s="2" t="s">
        <v>257</v>
      </c>
      <c r="D106" s="2" t="s">
        <v>45</v>
      </c>
      <c r="E106" s="2" t="str">
        <f>IF(ISERROR("HHSIZE"),"","Range: 1 - 15")</f>
        <v>Range: 1 - 15</v>
      </c>
      <c r="F106" s="4" t="str">
        <f>IF(ISERROR("HHSIZE"),"",HYPERLINK("#INDEX('Frequencies'!A:A,MATCH(A" &amp; ROW() &amp; ",'Frequencies'!A:A,0))","Frequencies"))</f>
        <v>Frequencies</v>
      </c>
      <c r="G106" s="2">
        <v>13</v>
      </c>
      <c r="H106" s="2"/>
      <c r="I106" s="2"/>
      <c r="J106" s="2"/>
      <c r="K106" s="2"/>
      <c r="L106" s="2"/>
    </row>
    <row r="107" spans="1:12" ht="49.95" customHeight="1" x14ac:dyDescent="0.3">
      <c r="A107" s="3" t="s">
        <v>258</v>
      </c>
      <c r="B107" s="2" t="s">
        <v>259</v>
      </c>
      <c r="C107" s="2"/>
      <c r="D107" s="2" t="s">
        <v>15</v>
      </c>
      <c r="E107" s="2" t="str">
        <f>IF(ISERROR("HHSTATE"),"","NA")</f>
        <v>NA</v>
      </c>
      <c r="F107" s="4" t="str">
        <f>IF(ISERROR("HHSTATE"),"",HYPERLINK("#INDEX('Frequencies'!A:A,MATCH(A" &amp; ROW() &amp; ",'Frequencies'!A:A,0))","Frequencies"))</f>
        <v>Frequencies</v>
      </c>
      <c r="G107" s="2">
        <v>68</v>
      </c>
      <c r="H107" s="2"/>
      <c r="I107" s="2"/>
      <c r="J107" s="2"/>
      <c r="K107" s="2"/>
      <c r="L107" s="2"/>
    </row>
    <row r="108" spans="1:12" ht="49.95" customHeight="1" x14ac:dyDescent="0.3">
      <c r="A108" s="3" t="s">
        <v>260</v>
      </c>
      <c r="B108" s="2" t="s">
        <v>261</v>
      </c>
      <c r="C108" s="2"/>
      <c r="D108" s="2" t="s">
        <v>15</v>
      </c>
      <c r="E108" s="4" t="str">
        <f>IF(ISERROR("HHSTFIPS"),"",HYPERLINK("#INDEX('Value Lookup'!A:A,MATCH(A" &amp; ROW() &amp; ",'Value Lookup'!A:A,0))","Value Lookup"))</f>
        <v>Value Lookup</v>
      </c>
      <c r="F108" s="4" t="str">
        <f>IF(ISERROR("HHSTFIPS"),"",HYPERLINK("#INDEX('Frequencies'!A:A,MATCH(A" &amp; ROW() &amp; ",'Frequencies'!A:A,0))","Frequencies"))</f>
        <v>Frequencies</v>
      </c>
      <c r="G108" s="2">
        <v>69</v>
      </c>
      <c r="H108" s="2"/>
      <c r="I108" s="2"/>
      <c r="J108" s="2"/>
      <c r="K108" s="2"/>
      <c r="L108" s="2"/>
    </row>
    <row r="109" spans="1:12" ht="49.95" customHeight="1" x14ac:dyDescent="0.3">
      <c r="A109" s="3" t="s">
        <v>262</v>
      </c>
      <c r="B109" s="2" t="s">
        <v>263</v>
      </c>
      <c r="C109" s="2" t="s">
        <v>264</v>
      </c>
      <c r="D109" s="2" t="s">
        <v>45</v>
      </c>
      <c r="E109" s="2" t="str">
        <f>IF(ISERROR("HHVEHCNT"),"","Range: 0 - 12")</f>
        <v>Range: 0 - 12</v>
      </c>
      <c r="F109" s="4" t="str">
        <f>IF(ISERROR("HHVEHCNT"),"",HYPERLINK("#INDEX('Frequencies'!A:A,MATCH(A" &amp; ROW() &amp; ",'Frequencies'!A:A,0))","Frequencies"))</f>
        <v>Frequencies</v>
      </c>
      <c r="G109" s="2">
        <v>14</v>
      </c>
      <c r="H109" s="2"/>
      <c r="I109" s="2"/>
      <c r="J109" s="2"/>
      <c r="K109" s="2"/>
      <c r="L109" s="2"/>
    </row>
    <row r="110" spans="1:12" ht="49.95" customHeight="1" x14ac:dyDescent="0.3">
      <c r="A110" s="3" t="s">
        <v>265</v>
      </c>
      <c r="B110" s="2" t="s">
        <v>266</v>
      </c>
      <c r="C110" s="2" t="s">
        <v>267</v>
      </c>
      <c r="D110" s="2" t="s">
        <v>15</v>
      </c>
      <c r="E110" s="4" t="str">
        <f>IF(ISERROR("HOMELOC_1"),"",HYPERLINK("#INDEX('Value Lookup'!A:A,MATCH(A" &amp; ROW() &amp; ",'Value Lookup'!A:A,0))","Value Lookup"))</f>
        <v>Value Lookup</v>
      </c>
      <c r="F110" s="4" t="str">
        <f>IF(ISERROR("HOMELOC_1"),"",HYPERLINK("#INDEX('Frequencies'!A:A,MATCH(A" &amp; ROW() &amp; ",'Frequencies'!A:A,0))","Frequencies"))</f>
        <v>Frequencies</v>
      </c>
      <c r="G110" s="2">
        <v>51</v>
      </c>
      <c r="H110" s="2"/>
      <c r="I110" s="2"/>
      <c r="J110" s="2"/>
      <c r="K110" s="2"/>
      <c r="L110" s="2" t="s">
        <v>268</v>
      </c>
    </row>
    <row r="111" spans="1:12" ht="49.95" customHeight="1" x14ac:dyDescent="0.3">
      <c r="A111" s="3" t="s">
        <v>269</v>
      </c>
      <c r="B111" s="2" t="s">
        <v>270</v>
      </c>
      <c r="C111" s="2" t="s">
        <v>267</v>
      </c>
      <c r="D111" s="2" t="s">
        <v>15</v>
      </c>
      <c r="E111" s="4" t="str">
        <f>IF(ISERROR("HOMELOC_10"),"",HYPERLINK("#INDEX('Value Lookup'!A:A,MATCH(A" &amp; ROW() &amp; ",'Value Lookup'!A:A,0))","Value Lookup"))</f>
        <v>Value Lookup</v>
      </c>
      <c r="F111" s="4" t="str">
        <f>IF(ISERROR("HOMELOC_10"),"",HYPERLINK("#INDEX('Frequencies'!A:A,MATCH(A" &amp; ROW() &amp; ",'Frequencies'!A:A,0))","Frequencies"))</f>
        <v>Frequencies</v>
      </c>
      <c r="G111" s="2">
        <v>60</v>
      </c>
      <c r="H111" s="2"/>
      <c r="I111" s="2"/>
      <c r="J111" s="2"/>
      <c r="K111" s="2"/>
      <c r="L111" s="2" t="s">
        <v>271</v>
      </c>
    </row>
    <row r="112" spans="1:12" ht="49.95" customHeight="1" x14ac:dyDescent="0.3">
      <c r="A112" s="3" t="s">
        <v>272</v>
      </c>
      <c r="B112" s="2" t="s">
        <v>273</v>
      </c>
      <c r="C112" s="2" t="s">
        <v>267</v>
      </c>
      <c r="D112" s="2" t="s">
        <v>15</v>
      </c>
      <c r="E112" s="4" t="str">
        <f>IF(ISERROR("HOMELOC_11"),"",HYPERLINK("#INDEX('Value Lookup'!A:A,MATCH(A" &amp; ROW() &amp; ",'Value Lookup'!A:A,0))","Value Lookup"))</f>
        <v>Value Lookup</v>
      </c>
      <c r="F112" s="4" t="str">
        <f>IF(ISERROR("HOMELOC_11"),"",HYPERLINK("#INDEX('Frequencies'!A:A,MATCH(A" &amp; ROW() &amp; ",'Frequencies'!A:A,0))","Frequencies"))</f>
        <v>Frequencies</v>
      </c>
      <c r="G112" s="2">
        <v>61</v>
      </c>
      <c r="H112" s="2"/>
      <c r="I112" s="2"/>
      <c r="J112" s="2"/>
      <c r="K112" s="2"/>
      <c r="L112" s="2" t="s">
        <v>274</v>
      </c>
    </row>
    <row r="113" spans="1:12" ht="49.95" customHeight="1" x14ac:dyDescent="0.3">
      <c r="A113" s="3" t="s">
        <v>275</v>
      </c>
      <c r="B113" s="2" t="s">
        <v>276</v>
      </c>
      <c r="C113" s="2" t="s">
        <v>267</v>
      </c>
      <c r="D113" s="2" t="s">
        <v>15</v>
      </c>
      <c r="E113" s="4" t="str">
        <f>IF(ISERROR("HOMELOC_2"),"",HYPERLINK("#INDEX('Value Lookup'!A:A,MATCH(A" &amp; ROW() &amp; ",'Value Lookup'!A:A,0))","Value Lookup"))</f>
        <v>Value Lookup</v>
      </c>
      <c r="F113" s="4" t="str">
        <f>IF(ISERROR("HOMELOC_2"),"",HYPERLINK("#INDEX('Frequencies'!A:A,MATCH(A" &amp; ROW() &amp; ",'Frequencies'!A:A,0))","Frequencies"))</f>
        <v>Frequencies</v>
      </c>
      <c r="G113" s="2">
        <v>52</v>
      </c>
      <c r="H113" s="2"/>
      <c r="I113" s="2"/>
      <c r="J113" s="2"/>
      <c r="K113" s="2"/>
      <c r="L113" s="2" t="s">
        <v>277</v>
      </c>
    </row>
    <row r="114" spans="1:12" ht="49.95" customHeight="1" x14ac:dyDescent="0.3">
      <c r="A114" s="3" t="s">
        <v>278</v>
      </c>
      <c r="B114" s="2" t="s">
        <v>279</v>
      </c>
      <c r="C114" s="2" t="s">
        <v>267</v>
      </c>
      <c r="D114" s="2" t="s">
        <v>15</v>
      </c>
      <c r="E114" s="4" t="str">
        <f>IF(ISERROR("HOMELOC_3"),"",HYPERLINK("#INDEX('Value Lookup'!A:A,MATCH(A" &amp; ROW() &amp; ",'Value Lookup'!A:A,0))","Value Lookup"))</f>
        <v>Value Lookup</v>
      </c>
      <c r="F114" s="4" t="str">
        <f>IF(ISERROR("HOMELOC_3"),"",HYPERLINK("#INDEX('Frequencies'!A:A,MATCH(A" &amp; ROW() &amp; ",'Frequencies'!A:A,0))","Frequencies"))</f>
        <v>Frequencies</v>
      </c>
      <c r="G114" s="2">
        <v>53</v>
      </c>
      <c r="H114" s="2"/>
      <c r="I114" s="2"/>
      <c r="J114" s="2"/>
      <c r="K114" s="2"/>
      <c r="L114" s="2" t="s">
        <v>280</v>
      </c>
    </row>
    <row r="115" spans="1:12" ht="49.95" customHeight="1" x14ac:dyDescent="0.3">
      <c r="A115" s="3" t="s">
        <v>281</v>
      </c>
      <c r="B115" s="2" t="s">
        <v>282</v>
      </c>
      <c r="C115" s="2" t="s">
        <v>267</v>
      </c>
      <c r="D115" s="2" t="s">
        <v>15</v>
      </c>
      <c r="E115" s="4" t="str">
        <f>IF(ISERROR("HOMELOC_4"),"",HYPERLINK("#INDEX('Value Lookup'!A:A,MATCH(A" &amp; ROW() &amp; ",'Value Lookup'!A:A,0))","Value Lookup"))</f>
        <v>Value Lookup</v>
      </c>
      <c r="F115" s="4" t="str">
        <f>IF(ISERROR("HOMELOC_4"),"",HYPERLINK("#INDEX('Frequencies'!A:A,MATCH(A" &amp; ROW() &amp; ",'Frequencies'!A:A,0))","Frequencies"))</f>
        <v>Frequencies</v>
      </c>
      <c r="G115" s="2">
        <v>54</v>
      </c>
      <c r="H115" s="2"/>
      <c r="I115" s="2"/>
      <c r="J115" s="2"/>
      <c r="K115" s="2"/>
      <c r="L115" s="2" t="s">
        <v>283</v>
      </c>
    </row>
    <row r="116" spans="1:12" ht="49.95" customHeight="1" x14ac:dyDescent="0.3">
      <c r="A116" s="3" t="s">
        <v>284</v>
      </c>
      <c r="B116" s="2" t="s">
        <v>285</v>
      </c>
      <c r="C116" s="2" t="s">
        <v>267</v>
      </c>
      <c r="D116" s="2" t="s">
        <v>15</v>
      </c>
      <c r="E116" s="4" t="str">
        <f>IF(ISERROR("HOMELOC_5"),"",HYPERLINK("#INDEX('Value Lookup'!A:A,MATCH(A" &amp; ROW() &amp; ",'Value Lookup'!A:A,0))","Value Lookup"))</f>
        <v>Value Lookup</v>
      </c>
      <c r="F116" s="4" t="str">
        <f>IF(ISERROR("HOMELOC_5"),"",HYPERLINK("#INDEX('Frequencies'!A:A,MATCH(A" &amp; ROW() &amp; ",'Frequencies'!A:A,0))","Frequencies"))</f>
        <v>Frequencies</v>
      </c>
      <c r="G116" s="2">
        <v>55</v>
      </c>
      <c r="H116" s="2"/>
      <c r="I116" s="2"/>
      <c r="J116" s="2"/>
      <c r="K116" s="2"/>
      <c r="L116" s="2" t="s">
        <v>286</v>
      </c>
    </row>
    <row r="117" spans="1:12" ht="49.95" customHeight="1" x14ac:dyDescent="0.3">
      <c r="A117" s="3" t="s">
        <v>287</v>
      </c>
      <c r="B117" s="2" t="s">
        <v>288</v>
      </c>
      <c r="C117" s="2" t="s">
        <v>267</v>
      </c>
      <c r="D117" s="2" t="s">
        <v>15</v>
      </c>
      <c r="E117" s="4" t="str">
        <f>IF(ISERROR("HOMELOC_6"),"",HYPERLINK("#INDEX('Value Lookup'!A:A,MATCH(A" &amp; ROW() &amp; ",'Value Lookup'!A:A,0))","Value Lookup"))</f>
        <v>Value Lookup</v>
      </c>
      <c r="F117" s="4" t="str">
        <f>IF(ISERROR("HOMELOC_6"),"",HYPERLINK("#INDEX('Frequencies'!A:A,MATCH(A" &amp; ROW() &amp; ",'Frequencies'!A:A,0))","Frequencies"))</f>
        <v>Frequencies</v>
      </c>
      <c r="G117" s="2">
        <v>56</v>
      </c>
      <c r="H117" s="2"/>
      <c r="I117" s="2"/>
      <c r="J117" s="2"/>
      <c r="K117" s="2"/>
      <c r="L117" s="2" t="s">
        <v>289</v>
      </c>
    </row>
    <row r="118" spans="1:12" ht="49.95" customHeight="1" x14ac:dyDescent="0.3">
      <c r="A118" s="3" t="s">
        <v>290</v>
      </c>
      <c r="B118" s="2" t="s">
        <v>291</v>
      </c>
      <c r="C118" s="2" t="s">
        <v>267</v>
      </c>
      <c r="D118" s="2" t="s">
        <v>15</v>
      </c>
      <c r="E118" s="4" t="str">
        <f>IF(ISERROR("HOMELOC_7"),"",HYPERLINK("#INDEX('Value Lookup'!A:A,MATCH(A" &amp; ROW() &amp; ",'Value Lookup'!A:A,0))","Value Lookup"))</f>
        <v>Value Lookup</v>
      </c>
      <c r="F118" s="4" t="str">
        <f>IF(ISERROR("HOMELOC_7"),"",HYPERLINK("#INDEX('Frequencies'!A:A,MATCH(A" &amp; ROW() &amp; ",'Frequencies'!A:A,0))","Frequencies"))</f>
        <v>Frequencies</v>
      </c>
      <c r="G118" s="2">
        <v>57</v>
      </c>
      <c r="H118" s="2"/>
      <c r="I118" s="2"/>
      <c r="J118" s="2"/>
      <c r="K118" s="2"/>
      <c r="L118" s="2" t="s">
        <v>292</v>
      </c>
    </row>
    <row r="119" spans="1:12" ht="49.95" customHeight="1" x14ac:dyDescent="0.3">
      <c r="A119" s="3" t="s">
        <v>293</v>
      </c>
      <c r="B119" s="2" t="s">
        <v>294</v>
      </c>
      <c r="C119" s="2" t="s">
        <v>267</v>
      </c>
      <c r="D119" s="2" t="s">
        <v>15</v>
      </c>
      <c r="E119" s="4" t="str">
        <f>IF(ISERROR("HOMELOC_8"),"",HYPERLINK("#INDEX('Value Lookup'!A:A,MATCH(A" &amp; ROW() &amp; ",'Value Lookup'!A:A,0))","Value Lookup"))</f>
        <v>Value Lookup</v>
      </c>
      <c r="F119" s="4" t="str">
        <f>IF(ISERROR("HOMELOC_8"),"",HYPERLINK("#INDEX('Frequencies'!A:A,MATCH(A" &amp; ROW() &amp; ",'Frequencies'!A:A,0))","Frequencies"))</f>
        <v>Frequencies</v>
      </c>
      <c r="G119" s="2">
        <v>58</v>
      </c>
      <c r="H119" s="2"/>
      <c r="I119" s="2"/>
      <c r="J119" s="2"/>
      <c r="K119" s="2"/>
      <c r="L119" s="2" t="s">
        <v>295</v>
      </c>
    </row>
    <row r="120" spans="1:12" ht="49.95" customHeight="1" x14ac:dyDescent="0.3">
      <c r="A120" s="3" t="s">
        <v>296</v>
      </c>
      <c r="B120" s="2" t="s">
        <v>297</v>
      </c>
      <c r="C120" s="2" t="s">
        <v>267</v>
      </c>
      <c r="D120" s="2" t="s">
        <v>15</v>
      </c>
      <c r="E120" s="4" t="str">
        <f>IF(ISERROR("HOMELOC_9"),"",HYPERLINK("#INDEX('Value Lookup'!A:A,MATCH(A" &amp; ROW() &amp; ",'Value Lookup'!A:A,0))","Value Lookup"))</f>
        <v>Value Lookup</v>
      </c>
      <c r="F120" s="4" t="str">
        <f>IF(ISERROR("HOMELOC_9"),"",HYPERLINK("#INDEX('Frequencies'!A:A,MATCH(A" &amp; ROW() &amp; ",'Frequencies'!A:A,0))","Frequencies"))</f>
        <v>Frequencies</v>
      </c>
      <c r="G120" s="2">
        <v>59</v>
      </c>
      <c r="H120" s="2"/>
      <c r="I120" s="2"/>
      <c r="J120" s="2"/>
      <c r="K120" s="2"/>
      <c r="L120" s="2" t="s">
        <v>298</v>
      </c>
    </row>
    <row r="121" spans="1:12" ht="49.95" customHeight="1" x14ac:dyDescent="0.3">
      <c r="A121" s="3" t="s">
        <v>299</v>
      </c>
      <c r="B121" s="2" t="s">
        <v>300</v>
      </c>
      <c r="C121" s="2" t="s">
        <v>267</v>
      </c>
      <c r="D121" s="2" t="s">
        <v>15</v>
      </c>
      <c r="E121" s="4" t="str">
        <f>IF(ISERROR("HOMELOC_DK"),"",HYPERLINK("#INDEX('Value Lookup'!A:A,MATCH(A" &amp; ROW() &amp; ",'Value Lookup'!A:A,0))","Value Lookup"))</f>
        <v>Value Lookup</v>
      </c>
      <c r="F121" s="4" t="str">
        <f>IF(ISERROR("HOMELOC_DK"),"",HYPERLINK("#INDEX('Frequencies'!A:A,MATCH(A" &amp; ROW() &amp; ",'Frequencies'!A:A,0))","Frequencies"))</f>
        <v>Frequencies</v>
      </c>
      <c r="G121" s="2">
        <v>63</v>
      </c>
      <c r="H121" s="2"/>
      <c r="I121" s="2"/>
      <c r="J121" s="2"/>
      <c r="K121" s="2"/>
      <c r="L121" s="2" t="s">
        <v>301</v>
      </c>
    </row>
    <row r="122" spans="1:12" ht="49.95" customHeight="1" x14ac:dyDescent="0.3">
      <c r="A122" s="3" t="s">
        <v>302</v>
      </c>
      <c r="B122" s="2" t="s">
        <v>303</v>
      </c>
      <c r="C122" s="2" t="s">
        <v>267</v>
      </c>
      <c r="D122" s="2" t="s">
        <v>15</v>
      </c>
      <c r="E122" s="4" t="str">
        <f>IF(ISERROR("HOMELOC_NA"),"",HYPERLINK("#INDEX('Value Lookup'!A:A,MATCH(A" &amp; ROW() &amp; ",'Value Lookup'!A:A,0))","Value Lookup"))</f>
        <v>Value Lookup</v>
      </c>
      <c r="F122" s="4" t="str">
        <f>IF(ISERROR("HOMELOC_NA"),"",HYPERLINK("#INDEX('Frequencies'!A:A,MATCH(A" &amp; ROW() &amp; ",'Frequencies'!A:A,0))","Frequencies"))</f>
        <v>Frequencies</v>
      </c>
      <c r="G122" s="2">
        <v>62</v>
      </c>
      <c r="H122" s="2"/>
      <c r="I122" s="2"/>
      <c r="J122" s="2"/>
      <c r="K122" s="2"/>
      <c r="L122" s="2" t="s">
        <v>304</v>
      </c>
    </row>
    <row r="123" spans="1:12" ht="49.95" customHeight="1" x14ac:dyDescent="0.3">
      <c r="A123" s="3" t="s">
        <v>305</v>
      </c>
      <c r="B123" s="2" t="s">
        <v>306</v>
      </c>
      <c r="C123" s="2" t="s">
        <v>267</v>
      </c>
      <c r="D123" s="2" t="s">
        <v>15</v>
      </c>
      <c r="E123" s="4" t="str">
        <f>IF(ISERROR("HOMELOC_RF"),"",HYPERLINK("#INDEX('Value Lookup'!A:A,MATCH(A" &amp; ROW() &amp; ",'Value Lookup'!A:A,0))","Value Lookup"))</f>
        <v>Value Lookup</v>
      </c>
      <c r="F123" s="4" t="str">
        <f>IF(ISERROR("HOMELOC_RF"),"",HYPERLINK("#INDEX('Frequencies'!A:A,MATCH(A" &amp; ROW() &amp; ",'Frequencies'!A:A,0))","Frequencies"))</f>
        <v>Frequencies</v>
      </c>
      <c r="G123" s="2">
        <v>64</v>
      </c>
      <c r="H123" s="2"/>
      <c r="I123" s="2"/>
      <c r="J123" s="2"/>
      <c r="K123" s="2"/>
      <c r="L123" s="2" t="s">
        <v>307</v>
      </c>
    </row>
    <row r="124" spans="1:12" ht="49.95" customHeight="1" x14ac:dyDescent="0.3">
      <c r="A124" s="3" t="s">
        <v>308</v>
      </c>
      <c r="B124" s="2" t="s">
        <v>309</v>
      </c>
      <c r="C124" s="2" t="s">
        <v>310</v>
      </c>
      <c r="D124" s="2" t="s">
        <v>15</v>
      </c>
      <c r="E124" s="4" t="str">
        <f>IF(ISERROR("HOMEOWN"),"",HYPERLINK("#INDEX('Value Lookup'!A:A,MATCH(A" &amp; ROW() &amp; ",'Value Lookup'!A:A,0))","Value Lookup"))</f>
        <v>Value Lookup</v>
      </c>
      <c r="F124" s="4" t="str">
        <f>IF(ISERROR("HOMEOWN"),"",HYPERLINK("#INDEX('Frequencies'!A:A,MATCH(A" &amp; ROW() &amp; ",'Frequencies'!A:A,0))","Frequencies"))</f>
        <v>Frequencies</v>
      </c>
      <c r="G124" s="2">
        <v>11</v>
      </c>
      <c r="H124" s="2"/>
      <c r="I124" s="2"/>
      <c r="J124" s="2"/>
      <c r="K124" s="2"/>
      <c r="L124" s="2"/>
    </row>
    <row r="125" spans="1:12" ht="49.95" customHeight="1" x14ac:dyDescent="0.3">
      <c r="A125" s="3" t="s">
        <v>311</v>
      </c>
      <c r="B125" s="2" t="s">
        <v>312</v>
      </c>
      <c r="C125" s="2"/>
      <c r="D125" s="2" t="s">
        <v>15</v>
      </c>
      <c r="E125" s="2" t="str">
        <f>IF(ISERROR("HOMEOWN_IMP"),"","NA")</f>
        <v>NA</v>
      </c>
      <c r="F125" s="4" t="str">
        <f>IF(ISERROR("HOMEOWN_IMP"),"",HYPERLINK("#INDEX('Frequencies'!A:A,MATCH(A" &amp; ROW() &amp; ",'Frequencies'!A:A,0))","Frequencies"))</f>
        <v>Frequencies</v>
      </c>
      <c r="G125" s="2">
        <v>110</v>
      </c>
      <c r="H125" s="2"/>
      <c r="I125" s="2"/>
      <c r="J125" s="2"/>
      <c r="K125" s="2"/>
      <c r="L125" s="2"/>
    </row>
    <row r="126" spans="1:12" ht="49.95" customHeight="1" x14ac:dyDescent="0.3">
      <c r="A126" s="3" t="s">
        <v>313</v>
      </c>
      <c r="B126" s="2" t="s">
        <v>314</v>
      </c>
      <c r="C126" s="2" t="s">
        <v>315</v>
      </c>
      <c r="D126" s="2" t="s">
        <v>15</v>
      </c>
      <c r="E126" s="4" t="str">
        <f>IF(ISERROR("HOMEOWOS"),"",HYPERLINK("#INDEX('Value Lookup'!A:A,MATCH(A" &amp; ROW() &amp; ",'Value Lookup'!A:A,0))","Value Lookup"))</f>
        <v>Value Lookup</v>
      </c>
      <c r="F126" s="4" t="str">
        <f>IF(ISERROR("HOMEOWOS"),"",HYPERLINK("#INDEX('Frequencies'!A:A,MATCH(A" &amp; ROW() &amp; ",'Frequencies'!A:A,0))","Frequencies"))</f>
        <v>Frequencies</v>
      </c>
      <c r="G126" s="2">
        <v>12</v>
      </c>
      <c r="H126" s="2"/>
      <c r="I126" s="2"/>
      <c r="J126" s="2"/>
      <c r="K126" s="2"/>
      <c r="L126" s="2"/>
    </row>
    <row r="127" spans="1:12" ht="49.95" customHeight="1" x14ac:dyDescent="0.3">
      <c r="A127" s="3" t="s">
        <v>316</v>
      </c>
      <c r="B127" s="2" t="s">
        <v>317</v>
      </c>
      <c r="C127" s="2" t="s">
        <v>318</v>
      </c>
      <c r="D127" s="2" t="s">
        <v>45</v>
      </c>
      <c r="E127" s="2" t="str">
        <f>IF(ISERROR("HOMETEN"),"","Range: 1 - 110")</f>
        <v>Range: 1 - 110</v>
      </c>
      <c r="F127" s="4" t="str">
        <f>IF(ISERROR("HOMETEN"),"",HYPERLINK("#INDEX('Frequencies'!A:A,MATCH(A" &amp; ROW() &amp; ",'Frequencies'!A:A,0))","Frequencies"))</f>
        <v>Frequencies</v>
      </c>
      <c r="G127" s="2">
        <v>36</v>
      </c>
      <c r="H127" s="2"/>
      <c r="I127" s="2"/>
      <c r="J127" s="2"/>
      <c r="K127" s="2"/>
      <c r="L127" s="2" t="s">
        <v>319</v>
      </c>
    </row>
    <row r="128" spans="1:12" ht="49.95" customHeight="1" x14ac:dyDescent="0.3">
      <c r="A128" s="3" t="s">
        <v>320</v>
      </c>
      <c r="B128" s="2" t="s">
        <v>321</v>
      </c>
      <c r="C128" s="2"/>
      <c r="D128" s="2" t="s">
        <v>15</v>
      </c>
      <c r="E128" s="2" t="str">
        <f>IF(ISERROR("HOUSEID"),"","NA")</f>
        <v>NA</v>
      </c>
      <c r="F128" s="4" t="str">
        <f>IF(ISERROR("HOUSEID"),"",HYPERLINK("#INDEX('Frequencies'!A:A,MATCH(A" &amp; ROW() &amp; ",'Frequencies'!A:A,0))","Frequencies"))</f>
        <v>Frequencies</v>
      </c>
      <c r="G128" s="2">
        <v>1</v>
      </c>
      <c r="H128" s="2">
        <v>1</v>
      </c>
      <c r="I128" s="2">
        <v>1</v>
      </c>
      <c r="J128" s="2">
        <v>1</v>
      </c>
      <c r="K128" s="2">
        <v>1</v>
      </c>
      <c r="L128" s="2"/>
    </row>
    <row r="129" spans="1:12" ht="49.95" customHeight="1" x14ac:dyDescent="0.3">
      <c r="A129" s="3" t="s">
        <v>322</v>
      </c>
      <c r="B129" s="2" t="s">
        <v>323</v>
      </c>
      <c r="C129" s="2" t="s">
        <v>324</v>
      </c>
      <c r="D129" s="2" t="s">
        <v>15</v>
      </c>
      <c r="E129" s="4" t="str">
        <f>IF(ISERROR("HOWFRPOS"),"",HYPERLINK("#INDEX('Value Lookup'!A:A,MATCH(A" &amp; ROW() &amp; ",'Value Lookup'!A:A,0))","Value Lookup"))</f>
        <v>Value Lookup</v>
      </c>
      <c r="F129" s="4" t="str">
        <f>IF(ISERROR("HOWFRPOS"),"",HYPERLINK("#INDEX('Frequencies'!A:A,MATCH(A" &amp; ROW() &amp; ",'Frequencies'!A:A,0))","Frequencies"))</f>
        <v>Frequencies</v>
      </c>
      <c r="G129" s="2"/>
      <c r="H129" s="2"/>
      <c r="I129" s="2"/>
      <c r="J129" s="2">
        <v>102</v>
      </c>
      <c r="K129" s="2"/>
      <c r="L129" s="2"/>
    </row>
    <row r="130" spans="1:12" ht="49.95" customHeight="1" x14ac:dyDescent="0.3">
      <c r="A130" s="3" t="s">
        <v>325</v>
      </c>
      <c r="B130" s="2" t="s">
        <v>326</v>
      </c>
      <c r="C130" s="2" t="s">
        <v>327</v>
      </c>
      <c r="D130" s="2" t="s">
        <v>15</v>
      </c>
      <c r="E130" s="4" t="str">
        <f>IF(ISERROR("HOWPUBOS"),"",HYPERLINK("#INDEX('Value Lookup'!A:A,MATCH(A" &amp; ROW() &amp; ",'Value Lookup'!A:A,0))","Value Lookup"))</f>
        <v>Value Lookup</v>
      </c>
      <c r="F130" s="4" t="str">
        <f>IF(ISERROR("HOWPUBOS"),"",HYPERLINK("#INDEX('Frequencies'!A:A,MATCH(A" &amp; ROW() &amp; ",'Frequencies'!A:A,0))","Frequencies"))</f>
        <v>Frequencies</v>
      </c>
      <c r="G130" s="2"/>
      <c r="H130" s="2"/>
      <c r="I130" s="2"/>
      <c r="J130" s="2">
        <v>78</v>
      </c>
      <c r="K130" s="2"/>
      <c r="L130" s="2"/>
    </row>
    <row r="131" spans="1:12" ht="49.95" customHeight="1" x14ac:dyDescent="0.3">
      <c r="A131" s="3" t="s">
        <v>328</v>
      </c>
      <c r="B131" s="2" t="s">
        <v>329</v>
      </c>
      <c r="C131" s="2"/>
      <c r="D131" s="2" t="s">
        <v>15</v>
      </c>
      <c r="E131" s="4" t="str">
        <f>IF(ISERROR("HTEEMPDN"),"",HYPERLINK("#INDEX('Value Lookup'!A:A,MATCH(A" &amp; ROW() &amp; ",'Value Lookup'!A:A,0))","Value Lookup"))</f>
        <v>Value Lookup</v>
      </c>
      <c r="F131" s="4" t="str">
        <f>IF(ISERROR("HTEEMPDN"),"",HYPERLINK("#INDEX('Frequencies'!A:A,MATCH(A" &amp; ROW() &amp; ",'Frequencies'!A:A,0))","Frequencies"))</f>
        <v>Frequencies</v>
      </c>
      <c r="G131" s="2">
        <v>96</v>
      </c>
      <c r="H131" s="2"/>
      <c r="I131" s="2"/>
      <c r="J131" s="2"/>
      <c r="K131" s="2"/>
      <c r="L131" s="2"/>
    </row>
    <row r="132" spans="1:12" ht="49.95" customHeight="1" x14ac:dyDescent="0.3">
      <c r="A132" s="3" t="s">
        <v>330</v>
      </c>
      <c r="B132" s="2" t="s">
        <v>331</v>
      </c>
      <c r="C132" s="2"/>
      <c r="D132" s="2" t="s">
        <v>45</v>
      </c>
      <c r="E132" s="2" t="str">
        <f>IF(ISERROR("HTEEMPDN17"),"","NA")</f>
        <v>NA</v>
      </c>
      <c r="F132" s="4" t="str">
        <f>IF(ISERROR("HTEEMPDN17"),"",HYPERLINK("#INDEX('Frequencies'!A:A,MATCH(A" &amp; ROW() &amp; ",'Frequencies'!A:A,0))","Frequencies"))</f>
        <v>Frequencies</v>
      </c>
      <c r="G132" s="2">
        <v>103</v>
      </c>
      <c r="H132" s="2"/>
      <c r="I132" s="2"/>
      <c r="J132" s="2"/>
      <c r="K132" s="2"/>
      <c r="L132" s="2"/>
    </row>
    <row r="133" spans="1:12" ht="49.95" customHeight="1" x14ac:dyDescent="0.3">
      <c r="A133" s="3" t="s">
        <v>332</v>
      </c>
      <c r="B133" s="2" t="s">
        <v>333</v>
      </c>
      <c r="C133" s="2"/>
      <c r="D133" s="2" t="s">
        <v>15</v>
      </c>
      <c r="E133" s="4" t="str">
        <f>IF(ISERROR("HTHTNRNT"),"",HYPERLINK("#INDEX('Value Lookup'!A:A,MATCH(A" &amp; ROW() &amp; ",'Value Lookup'!A:A,0))","Value Lookup"))</f>
        <v>Value Lookup</v>
      </c>
      <c r="F133" s="4" t="str">
        <f>IF(ISERROR("HTHTNRNT"),"",HYPERLINK("#INDEX('Frequencies'!A:A,MATCH(A" &amp; ROW() &amp; ",'Frequencies'!A:A,0))","Frequencies"))</f>
        <v>Frequencies</v>
      </c>
      <c r="G133" s="2">
        <v>97</v>
      </c>
      <c r="H133" s="2"/>
      <c r="I133" s="2"/>
      <c r="J133" s="2"/>
      <c r="K133" s="2"/>
      <c r="L133" s="2"/>
    </row>
    <row r="134" spans="1:12" ht="49.95" customHeight="1" x14ac:dyDescent="0.3">
      <c r="A134" s="3" t="s">
        <v>334</v>
      </c>
      <c r="B134" s="2" t="s">
        <v>335</v>
      </c>
      <c r="C134" s="2"/>
      <c r="D134" s="2" t="s">
        <v>45</v>
      </c>
      <c r="E134" s="4" t="str">
        <f>IF(ISERROR("HTHTNRNT17"),"",HYPERLINK("#INDEX('Value Lookup'!A:A,MATCH(A" &amp; ROW() &amp; ",'Value Lookup'!A:A,0))","Value Lookup"))</f>
        <v>Value Lookup</v>
      </c>
      <c r="F134" s="4" t="str">
        <f>IF(ISERROR("HTHTNRNT17"),"",HYPERLINK("#INDEX('Frequencies'!A:A,MATCH(A" &amp; ROW() &amp; ",'Frequencies'!A:A,0))","Frequencies"))</f>
        <v>Frequencies</v>
      </c>
      <c r="G134" s="2">
        <v>104</v>
      </c>
      <c r="H134" s="2"/>
      <c r="I134" s="2"/>
      <c r="J134" s="2"/>
      <c r="K134" s="2"/>
      <c r="L134" s="2"/>
    </row>
    <row r="135" spans="1:12" ht="49.95" customHeight="1" x14ac:dyDescent="0.3">
      <c r="A135" s="3" t="s">
        <v>336</v>
      </c>
      <c r="B135" s="2" t="s">
        <v>337</v>
      </c>
      <c r="C135" s="2"/>
      <c r="D135" s="2" t="s">
        <v>15</v>
      </c>
      <c r="E135" s="4" t="str">
        <f>IF(ISERROR("HTPPOPDN"),"",HYPERLINK("#INDEX('Value Lookup'!A:A,MATCH(A" &amp; ROW() &amp; ",'Value Lookup'!A:A,0))","Value Lookup"))</f>
        <v>Value Lookup</v>
      </c>
      <c r="F135" s="4" t="str">
        <f>IF(ISERROR("HTPPOPDN"),"",HYPERLINK("#INDEX('Frequencies'!A:A,MATCH(A" &amp; ROW() &amp; ",'Frequencies'!A:A,0))","Frequencies"))</f>
        <v>Frequencies</v>
      </c>
      <c r="G135" s="2">
        <v>98</v>
      </c>
      <c r="H135" s="2"/>
      <c r="I135" s="2"/>
      <c r="J135" s="2"/>
      <c r="K135" s="2"/>
      <c r="L135" s="2"/>
    </row>
    <row r="136" spans="1:12" ht="49.95" customHeight="1" x14ac:dyDescent="0.3">
      <c r="A136" s="3" t="s">
        <v>338</v>
      </c>
      <c r="B136" s="2" t="s">
        <v>339</v>
      </c>
      <c r="C136" s="2"/>
      <c r="D136" s="2" t="s">
        <v>45</v>
      </c>
      <c r="E136" s="2" t="str">
        <f>IF(ISERROR("HTPPOPDN17"),"","NA")</f>
        <v>NA</v>
      </c>
      <c r="F136" s="4" t="str">
        <f>IF(ISERROR("HTPPOPDN17"),"",HYPERLINK("#INDEX('Frequencies'!A:A,MATCH(A" &amp; ROW() &amp; ",'Frequencies'!A:A,0))","Frequencies"))</f>
        <v>Frequencies</v>
      </c>
      <c r="G136" s="2">
        <v>105</v>
      </c>
      <c r="H136" s="2"/>
      <c r="I136" s="2"/>
      <c r="J136" s="2"/>
      <c r="K136" s="2"/>
      <c r="L136" s="2"/>
    </row>
    <row r="137" spans="1:12" ht="49.95" customHeight="1" x14ac:dyDescent="0.3">
      <c r="A137" s="3" t="s">
        <v>340</v>
      </c>
      <c r="B137" s="2" t="s">
        <v>341</v>
      </c>
      <c r="C137" s="2"/>
      <c r="D137" s="2" t="s">
        <v>15</v>
      </c>
      <c r="E137" s="4" t="str">
        <f>IF(ISERROR("HTRESDN"),"",HYPERLINK("#INDEX('Value Lookup'!A:A,MATCH(A" &amp; ROW() &amp; ",'Value Lookup'!A:A,0))","Value Lookup"))</f>
        <v>Value Lookup</v>
      </c>
      <c r="F137" s="4" t="str">
        <f>IF(ISERROR("HTRESDN"),"",HYPERLINK("#INDEX('Frequencies'!A:A,MATCH(A" &amp; ROW() &amp; ",'Frequencies'!A:A,0))","Frequencies"))</f>
        <v>Frequencies</v>
      </c>
      <c r="G137" s="2">
        <v>99</v>
      </c>
      <c r="H137" s="2"/>
      <c r="I137" s="2"/>
      <c r="J137" s="2"/>
      <c r="K137" s="2"/>
      <c r="L137" s="2"/>
    </row>
    <row r="138" spans="1:12" ht="49.95" customHeight="1" x14ac:dyDescent="0.3">
      <c r="A138" s="3" t="s">
        <v>342</v>
      </c>
      <c r="B138" s="2" t="s">
        <v>343</v>
      </c>
      <c r="C138" s="2"/>
      <c r="D138" s="2" t="s">
        <v>45</v>
      </c>
      <c r="E138" s="2" t="str">
        <f>IF(ISERROR("HTRESDN17"),"","NA")</f>
        <v>NA</v>
      </c>
      <c r="F138" s="4" t="str">
        <f>IF(ISERROR("HTRESDN17"),"",HYPERLINK("#INDEX('Frequencies'!A:A,MATCH(A" &amp; ROW() &amp; ",'Frequencies'!A:A,0))","Frequencies"))</f>
        <v>Frequencies</v>
      </c>
      <c r="G138" s="2">
        <v>106</v>
      </c>
      <c r="H138" s="2"/>
      <c r="I138" s="2"/>
      <c r="J138" s="2"/>
      <c r="K138" s="2"/>
      <c r="L138" s="2"/>
    </row>
    <row r="139" spans="1:12" ht="49.95" customHeight="1" x14ac:dyDescent="0.3">
      <c r="A139" s="3" t="s">
        <v>344</v>
      </c>
      <c r="B139" s="2" t="s">
        <v>345</v>
      </c>
      <c r="C139" s="2"/>
      <c r="D139" s="2" t="s">
        <v>15</v>
      </c>
      <c r="E139" s="4" t="str">
        <f>IF(ISERROR("HYBRID"),"",HYPERLINK("#INDEX('Value Lookup'!A:A,MATCH(A" &amp; ROW() &amp; ",'Value Lookup'!A:A,0))","Value Lookup"))</f>
        <v>Value Lookup</v>
      </c>
      <c r="F139" s="4" t="str">
        <f>IF(ISERROR("HYBRID"),"",HYPERLINK("#INDEX('Frequencies'!A:A,MATCH(A" &amp; ROW() &amp; ",'Frequencies'!A:A,0))","Frequencies"))</f>
        <v>Frequencies</v>
      </c>
      <c r="G139" s="2"/>
      <c r="H139" s="2"/>
      <c r="I139" s="2">
        <v>30</v>
      </c>
      <c r="J139" s="2"/>
      <c r="K139" s="2"/>
      <c r="L139" s="2"/>
    </row>
    <row r="140" spans="1:12" ht="49.95" customHeight="1" x14ac:dyDescent="0.3">
      <c r="A140" s="3" t="s">
        <v>346</v>
      </c>
      <c r="B140" s="2" t="s">
        <v>347</v>
      </c>
      <c r="C140" s="2" t="s">
        <v>348</v>
      </c>
      <c r="D140" s="2" t="s">
        <v>15</v>
      </c>
      <c r="E140" s="4" t="str">
        <f>IF(ISERROR("INVEST_1"),"",HYPERLINK("#INDEX('Value Lookup'!A:A,MATCH(A" &amp; ROW() &amp; ",'Value Lookup'!A:A,0))","Value Lookup"))</f>
        <v>Value Lookup</v>
      </c>
      <c r="F140" s="4" t="str">
        <f>IF(ISERROR("INVEST_1"),"",HYPERLINK("#INDEX('Frequencies'!A:A,MATCH(A" &amp; ROW() &amp; ",'Frequencies'!A:A,0))","Frequencies"))</f>
        <v>Frequencies</v>
      </c>
      <c r="G140" s="2">
        <v>38</v>
      </c>
      <c r="H140" s="2"/>
      <c r="I140" s="2"/>
      <c r="J140" s="2"/>
      <c r="K140" s="2"/>
      <c r="L140" s="2" t="s">
        <v>349</v>
      </c>
    </row>
    <row r="141" spans="1:12" ht="49.95" customHeight="1" x14ac:dyDescent="0.3">
      <c r="A141" s="3" t="s">
        <v>350</v>
      </c>
      <c r="B141" s="2" t="s">
        <v>351</v>
      </c>
      <c r="C141" s="2" t="s">
        <v>348</v>
      </c>
      <c r="D141" s="2" t="s">
        <v>15</v>
      </c>
      <c r="E141" s="4" t="str">
        <f>IF(ISERROR("INVEST_10"),"",HYPERLINK("#INDEX('Value Lookup'!A:A,MATCH(A" &amp; ROW() &amp; ",'Value Lookup'!A:A,0))","Value Lookup"))</f>
        <v>Value Lookup</v>
      </c>
      <c r="F141" s="4" t="str">
        <f>IF(ISERROR("INVEST_10"),"",HYPERLINK("#INDEX('Frequencies'!A:A,MATCH(A" &amp; ROW() &amp; ",'Frequencies'!A:A,0))","Frequencies"))</f>
        <v>Frequencies</v>
      </c>
      <c r="G141" s="2">
        <v>47</v>
      </c>
      <c r="H141" s="2"/>
      <c r="I141" s="2"/>
      <c r="J141" s="2"/>
      <c r="K141" s="2"/>
      <c r="L141" s="2" t="s">
        <v>352</v>
      </c>
    </row>
    <row r="142" spans="1:12" ht="49.95" customHeight="1" x14ac:dyDescent="0.3">
      <c r="A142" s="3" t="s">
        <v>353</v>
      </c>
      <c r="B142" s="2" t="s">
        <v>354</v>
      </c>
      <c r="C142" s="2" t="s">
        <v>348</v>
      </c>
      <c r="D142" s="2" t="s">
        <v>15</v>
      </c>
      <c r="E142" s="4" t="str">
        <f>IF(ISERROR("INVEST_2"),"",HYPERLINK("#INDEX('Value Lookup'!A:A,MATCH(A" &amp; ROW() &amp; ",'Value Lookup'!A:A,0))","Value Lookup"))</f>
        <v>Value Lookup</v>
      </c>
      <c r="F142" s="4" t="str">
        <f>IF(ISERROR("INVEST_2"),"",HYPERLINK("#INDEX('Frequencies'!A:A,MATCH(A" &amp; ROW() &amp; ",'Frequencies'!A:A,0))","Frequencies"))</f>
        <v>Frequencies</v>
      </c>
      <c r="G142" s="2">
        <v>39</v>
      </c>
      <c r="H142" s="2"/>
      <c r="I142" s="2"/>
      <c r="J142" s="2"/>
      <c r="K142" s="2"/>
      <c r="L142" s="2" t="s">
        <v>355</v>
      </c>
    </row>
    <row r="143" spans="1:12" ht="49.95" customHeight="1" x14ac:dyDescent="0.3">
      <c r="A143" s="3" t="s">
        <v>356</v>
      </c>
      <c r="B143" s="2" t="s">
        <v>357</v>
      </c>
      <c r="C143" s="2" t="s">
        <v>348</v>
      </c>
      <c r="D143" s="2" t="s">
        <v>15</v>
      </c>
      <c r="E143" s="4" t="str">
        <f>IF(ISERROR("INVEST_3"),"",HYPERLINK("#INDEX('Value Lookup'!A:A,MATCH(A" &amp; ROW() &amp; ",'Value Lookup'!A:A,0))","Value Lookup"))</f>
        <v>Value Lookup</v>
      </c>
      <c r="F143" s="4" t="str">
        <f>IF(ISERROR("INVEST_3"),"",HYPERLINK("#INDEX('Frequencies'!A:A,MATCH(A" &amp; ROW() &amp; ",'Frequencies'!A:A,0))","Frequencies"))</f>
        <v>Frequencies</v>
      </c>
      <c r="G143" s="2">
        <v>40</v>
      </c>
      <c r="H143" s="2"/>
      <c r="I143" s="2"/>
      <c r="J143" s="2"/>
      <c r="K143" s="2"/>
      <c r="L143" s="2" t="s">
        <v>352</v>
      </c>
    </row>
    <row r="144" spans="1:12" ht="49.95" customHeight="1" x14ac:dyDescent="0.3">
      <c r="A144" s="3" t="s">
        <v>358</v>
      </c>
      <c r="B144" s="2" t="s">
        <v>359</v>
      </c>
      <c r="C144" s="2" t="s">
        <v>348</v>
      </c>
      <c r="D144" s="2" t="s">
        <v>15</v>
      </c>
      <c r="E144" s="4" t="str">
        <f>IF(ISERROR("INVEST_4"),"",HYPERLINK("#INDEX('Value Lookup'!A:A,MATCH(A" &amp; ROW() &amp; ",'Value Lookup'!A:A,0))","Value Lookup"))</f>
        <v>Value Lookup</v>
      </c>
      <c r="F144" s="4" t="str">
        <f>IF(ISERROR("INVEST_4"),"",HYPERLINK("#INDEX('Frequencies'!A:A,MATCH(A" &amp; ROW() &amp; ",'Frequencies'!A:A,0))","Frequencies"))</f>
        <v>Frequencies</v>
      </c>
      <c r="G144" s="2">
        <v>41</v>
      </c>
      <c r="H144" s="2"/>
      <c r="I144" s="2"/>
      <c r="J144" s="2"/>
      <c r="K144" s="2"/>
      <c r="L144" s="2" t="s">
        <v>360</v>
      </c>
    </row>
    <row r="145" spans="1:12" ht="49.95" customHeight="1" x14ac:dyDescent="0.3">
      <c r="A145" s="3" t="s">
        <v>361</v>
      </c>
      <c r="B145" s="2" t="s">
        <v>362</v>
      </c>
      <c r="C145" s="2" t="s">
        <v>348</v>
      </c>
      <c r="D145" s="2" t="s">
        <v>15</v>
      </c>
      <c r="E145" s="4" t="str">
        <f>IF(ISERROR("INVEST_5"),"",HYPERLINK("#INDEX('Value Lookup'!A:A,MATCH(A" &amp; ROW() &amp; ",'Value Lookup'!A:A,0))","Value Lookup"))</f>
        <v>Value Lookup</v>
      </c>
      <c r="F145" s="4" t="str">
        <f>IF(ISERROR("INVEST_5"),"",HYPERLINK("#INDEX('Frequencies'!A:A,MATCH(A" &amp; ROW() &amp; ",'Frequencies'!A:A,0))","Frequencies"))</f>
        <v>Frequencies</v>
      </c>
      <c r="G145" s="2">
        <v>42</v>
      </c>
      <c r="H145" s="2"/>
      <c r="I145" s="2"/>
      <c r="J145" s="2"/>
      <c r="K145" s="2"/>
      <c r="L145" s="2" t="s">
        <v>363</v>
      </c>
    </row>
    <row r="146" spans="1:12" ht="49.95" customHeight="1" x14ac:dyDescent="0.3">
      <c r="A146" s="3" t="s">
        <v>364</v>
      </c>
      <c r="B146" s="2" t="s">
        <v>365</v>
      </c>
      <c r="C146" s="2" t="s">
        <v>348</v>
      </c>
      <c r="D146" s="2" t="s">
        <v>15</v>
      </c>
      <c r="E146" s="4" t="str">
        <f>IF(ISERROR("INVEST_6"),"",HYPERLINK("#INDEX('Value Lookup'!A:A,MATCH(A" &amp; ROW() &amp; ",'Value Lookup'!A:A,0))","Value Lookup"))</f>
        <v>Value Lookup</v>
      </c>
      <c r="F146" s="4" t="str">
        <f>IF(ISERROR("INVEST_6"),"",HYPERLINK("#INDEX('Frequencies'!A:A,MATCH(A" &amp; ROW() &amp; ",'Frequencies'!A:A,0))","Frequencies"))</f>
        <v>Frequencies</v>
      </c>
      <c r="G146" s="2">
        <v>43</v>
      </c>
      <c r="H146" s="2"/>
      <c r="I146" s="2"/>
      <c r="J146" s="2"/>
      <c r="K146" s="2"/>
      <c r="L146" s="2" t="s">
        <v>352</v>
      </c>
    </row>
    <row r="147" spans="1:12" ht="49.95" customHeight="1" x14ac:dyDescent="0.3">
      <c r="A147" s="3" t="s">
        <v>366</v>
      </c>
      <c r="B147" s="2" t="s">
        <v>367</v>
      </c>
      <c r="C147" s="2" t="s">
        <v>348</v>
      </c>
      <c r="D147" s="2" t="s">
        <v>15</v>
      </c>
      <c r="E147" s="4" t="str">
        <f>IF(ISERROR("INVEST_7"),"",HYPERLINK("#INDEX('Value Lookup'!A:A,MATCH(A" &amp; ROW() &amp; ",'Value Lookup'!A:A,0))","Value Lookup"))</f>
        <v>Value Lookup</v>
      </c>
      <c r="F147" s="4" t="str">
        <f>IF(ISERROR("INVEST_7"),"",HYPERLINK("#INDEX('Frequencies'!A:A,MATCH(A" &amp; ROW() &amp; ",'Frequencies'!A:A,0))","Frequencies"))</f>
        <v>Frequencies</v>
      </c>
      <c r="G147" s="2">
        <v>44</v>
      </c>
      <c r="H147" s="2"/>
      <c r="I147" s="2"/>
      <c r="J147" s="2"/>
      <c r="K147" s="2"/>
      <c r="L147" s="2" t="s">
        <v>349</v>
      </c>
    </row>
    <row r="148" spans="1:12" ht="49.95" customHeight="1" x14ac:dyDescent="0.3">
      <c r="A148" s="3" t="s">
        <v>368</v>
      </c>
      <c r="B148" s="2" t="s">
        <v>369</v>
      </c>
      <c r="C148" s="2" t="s">
        <v>348</v>
      </c>
      <c r="D148" s="2" t="s">
        <v>15</v>
      </c>
      <c r="E148" s="4" t="str">
        <f>IF(ISERROR("INVEST_8"),"",HYPERLINK("#INDEX('Value Lookup'!A:A,MATCH(A" &amp; ROW() &amp; ",'Value Lookup'!A:A,0))","Value Lookup"))</f>
        <v>Value Lookup</v>
      </c>
      <c r="F148" s="4" t="str">
        <f>IF(ISERROR("INVEST_8"),"",HYPERLINK("#INDEX('Frequencies'!A:A,MATCH(A" &amp; ROW() &amp; ",'Frequencies'!A:A,0))","Frequencies"))</f>
        <v>Frequencies</v>
      </c>
      <c r="G148" s="2">
        <v>45</v>
      </c>
      <c r="H148" s="2"/>
      <c r="I148" s="2"/>
      <c r="J148" s="2"/>
      <c r="K148" s="2"/>
      <c r="L148" s="2" t="s">
        <v>370</v>
      </c>
    </row>
    <row r="149" spans="1:12" ht="49.95" customHeight="1" x14ac:dyDescent="0.3">
      <c r="A149" s="3" t="s">
        <v>371</v>
      </c>
      <c r="B149" s="2" t="s">
        <v>372</v>
      </c>
      <c r="C149" s="2" t="s">
        <v>348</v>
      </c>
      <c r="D149" s="2" t="s">
        <v>15</v>
      </c>
      <c r="E149" s="4" t="str">
        <f>IF(ISERROR("INVEST_9"),"",HYPERLINK("#INDEX('Value Lookup'!A:A,MATCH(A" &amp; ROW() &amp; ",'Value Lookup'!A:A,0))","Value Lookup"))</f>
        <v>Value Lookup</v>
      </c>
      <c r="F149" s="4" t="str">
        <f>IF(ISERROR("INVEST_9"),"",HYPERLINK("#INDEX('Frequencies'!A:A,MATCH(A" &amp; ROW() &amp; ",'Frequencies'!A:A,0))","Frequencies"))</f>
        <v>Frequencies</v>
      </c>
      <c r="G149" s="2">
        <v>46</v>
      </c>
      <c r="H149" s="2"/>
      <c r="I149" s="2"/>
      <c r="J149" s="2"/>
      <c r="K149" s="2"/>
      <c r="L149" s="2" t="s">
        <v>363</v>
      </c>
    </row>
    <row r="150" spans="1:12" ht="49.95" customHeight="1" x14ac:dyDescent="0.3">
      <c r="A150" s="3" t="s">
        <v>373</v>
      </c>
      <c r="B150" s="2" t="s">
        <v>374</v>
      </c>
      <c r="C150" s="2" t="s">
        <v>348</v>
      </c>
      <c r="D150" s="2" t="s">
        <v>15</v>
      </c>
      <c r="E150" s="4" t="str">
        <f>IF(ISERROR("INVEST_DK"),"",HYPERLINK("#INDEX('Value Lookup'!A:A,MATCH(A" &amp; ROW() &amp; ",'Value Lookup'!A:A,0))","Value Lookup"))</f>
        <v>Value Lookup</v>
      </c>
      <c r="F150" s="4" t="str">
        <f>IF(ISERROR("INVEST_DK"),"",HYPERLINK("#INDEX('Frequencies'!A:A,MATCH(A" &amp; ROW() &amp; ",'Frequencies'!A:A,0))","Frequencies"))</f>
        <v>Frequencies</v>
      </c>
      <c r="G150" s="2">
        <v>49</v>
      </c>
      <c r="H150" s="2"/>
      <c r="I150" s="2"/>
      <c r="J150" s="2"/>
      <c r="K150" s="2"/>
      <c r="L150" s="2" t="s">
        <v>370</v>
      </c>
    </row>
    <row r="151" spans="1:12" ht="49.95" customHeight="1" x14ac:dyDescent="0.3">
      <c r="A151" s="3" t="s">
        <v>375</v>
      </c>
      <c r="B151" s="2" t="s">
        <v>376</v>
      </c>
      <c r="C151" s="2" t="s">
        <v>348</v>
      </c>
      <c r="D151" s="2" t="s">
        <v>15</v>
      </c>
      <c r="E151" s="4" t="str">
        <f>IF(ISERROR("INVEST_NA"),"",HYPERLINK("#INDEX('Value Lookup'!A:A,MATCH(A" &amp; ROW() &amp; ",'Value Lookup'!A:A,0))","Value Lookup"))</f>
        <v>Value Lookup</v>
      </c>
      <c r="F151" s="4" t="str">
        <f>IF(ISERROR("INVEST_NA"),"",HYPERLINK("#INDEX('Frequencies'!A:A,MATCH(A" &amp; ROW() &amp; ",'Frequencies'!A:A,0))","Frequencies"))</f>
        <v>Frequencies</v>
      </c>
      <c r="G151" s="2">
        <v>48</v>
      </c>
      <c r="H151" s="2"/>
      <c r="I151" s="2"/>
      <c r="J151" s="2"/>
      <c r="K151" s="2"/>
      <c r="L151" s="2" t="s">
        <v>349</v>
      </c>
    </row>
    <row r="152" spans="1:12" ht="49.95" customHeight="1" x14ac:dyDescent="0.3">
      <c r="A152" s="3" t="s">
        <v>377</v>
      </c>
      <c r="B152" s="2" t="s">
        <v>378</v>
      </c>
      <c r="C152" s="2" t="s">
        <v>348</v>
      </c>
      <c r="D152" s="2" t="s">
        <v>15</v>
      </c>
      <c r="E152" s="4" t="str">
        <f>IF(ISERROR("INVEST_RF"),"",HYPERLINK("#INDEX('Value Lookup'!A:A,MATCH(A" &amp; ROW() &amp; ",'Value Lookup'!A:A,0))","Value Lookup"))</f>
        <v>Value Lookup</v>
      </c>
      <c r="F152" s="4" t="str">
        <f>IF(ISERROR("INVEST_RF"),"",HYPERLINK("#INDEX('Frequencies'!A:A,MATCH(A" &amp; ROW() &amp; ",'Frequencies'!A:A,0))","Frequencies"))</f>
        <v>Frequencies</v>
      </c>
      <c r="G152" s="2">
        <v>50</v>
      </c>
      <c r="H152" s="2"/>
      <c r="I152" s="2"/>
      <c r="J152" s="2"/>
      <c r="K152" s="2"/>
      <c r="L152" s="2" t="s">
        <v>349</v>
      </c>
    </row>
    <row r="153" spans="1:12" ht="49.95" customHeight="1" x14ac:dyDescent="0.3">
      <c r="A153" s="3" t="s">
        <v>379</v>
      </c>
      <c r="B153" s="2" t="s">
        <v>380</v>
      </c>
      <c r="C153" s="2" t="s">
        <v>381</v>
      </c>
      <c r="D153" s="2" t="s">
        <v>15</v>
      </c>
      <c r="E153" s="4" t="str">
        <f>IF(ISERROR("JOBCATOS"),"",HYPERLINK("#INDEX('Value Lookup'!A:A,MATCH(A" &amp; ROW() &amp; ",'Value Lookup'!A:A,0))","Value Lookup"))</f>
        <v>Value Lookup</v>
      </c>
      <c r="F153" s="4" t="str">
        <f>IF(ISERROR("JOBCATOS"),"",HYPERLINK("#INDEX('Frequencies'!A:A,MATCH(A" &amp; ROW() &amp; ",'Frequencies'!A:A,0))","Frequencies"))</f>
        <v>Frequencies</v>
      </c>
      <c r="G153" s="2"/>
      <c r="H153" s="2">
        <v>21</v>
      </c>
      <c r="I153" s="2"/>
      <c r="J153" s="2"/>
      <c r="K153" s="2"/>
      <c r="L153" s="2"/>
    </row>
    <row r="154" spans="1:12" ht="49.95" customHeight="1" x14ac:dyDescent="0.3">
      <c r="A154" s="3" t="s">
        <v>382</v>
      </c>
      <c r="B154" s="2" t="s">
        <v>383</v>
      </c>
      <c r="C154" s="2" t="s">
        <v>384</v>
      </c>
      <c r="D154" s="2" t="s">
        <v>15</v>
      </c>
      <c r="E154" s="4" t="str">
        <f>IF(ISERROR("LANDLINE"),"",HYPERLINK("#INDEX('Value Lookup'!A:A,MATCH(A" &amp; ROW() &amp; ",'Value Lookup'!A:A,0))","Value Lookup"))</f>
        <v>Value Lookup</v>
      </c>
      <c r="F154" s="4" t="str">
        <f>IF(ISERROR("LANDLINE"),"",HYPERLINK("#INDEX('Frequencies'!A:A,MATCH(A" &amp; ROW() &amp; ",'Frequencies'!A:A,0))","Frequencies"))</f>
        <v>Frequencies</v>
      </c>
      <c r="G154" s="2">
        <v>16</v>
      </c>
      <c r="H154" s="2"/>
      <c r="I154" s="2"/>
      <c r="J154" s="2"/>
      <c r="K154" s="2"/>
      <c r="L154" s="2"/>
    </row>
    <row r="155" spans="1:12" ht="49.95" customHeight="1" x14ac:dyDescent="0.3">
      <c r="A155" s="3" t="s">
        <v>385</v>
      </c>
      <c r="B155" s="2" t="s">
        <v>386</v>
      </c>
      <c r="C155" s="2" t="s">
        <v>387</v>
      </c>
      <c r="D155" s="2" t="s">
        <v>15</v>
      </c>
      <c r="E155" s="4" t="str">
        <f>IF(ISERROR("LANG"),"",HYPERLINK("#INDEX('Value Lookup'!A:A,MATCH(A" &amp; ROW() &amp; ",'Value Lookup'!A:A,0))","Value Lookup"))</f>
        <v>Value Lookup</v>
      </c>
      <c r="F155" s="4" t="str">
        <f>IF(ISERROR("LANG"),"",HYPERLINK("#INDEX('Frequencies'!A:A,MATCH(A" &amp; ROW() &amp; ",'Frequencies'!A:A,0))","Frequencies"))</f>
        <v>Frequencies</v>
      </c>
      <c r="G155" s="2">
        <v>6</v>
      </c>
      <c r="H155" s="2"/>
      <c r="I155" s="2"/>
      <c r="J155" s="2"/>
      <c r="K155" s="2"/>
      <c r="L155" s="2"/>
    </row>
    <row r="156" spans="1:12" ht="49.95" customHeight="1" x14ac:dyDescent="0.3">
      <c r="A156" s="3" t="s">
        <v>388</v>
      </c>
      <c r="B156" s="2" t="s">
        <v>389</v>
      </c>
      <c r="C156" s="2"/>
      <c r="D156" s="2" t="s">
        <v>15</v>
      </c>
      <c r="E156" s="2" t="str">
        <f>IF(ISERROR("LATITUDE"),"","NA")</f>
        <v>NA</v>
      </c>
      <c r="F156" s="4" t="str">
        <f>IF(ISERROR("LATITUDE"),"",HYPERLINK("#INDEX('Frequencies'!A:A,MATCH(A" &amp; ROW() &amp; ",'Frequencies'!A:A,0))","Frequencies"))</f>
        <v>Frequencies</v>
      </c>
      <c r="G156" s="2"/>
      <c r="H156" s="2"/>
      <c r="I156" s="2"/>
      <c r="J156" s="2"/>
      <c r="K156" s="2">
        <v>6</v>
      </c>
      <c r="L156" s="2"/>
    </row>
    <row r="157" spans="1:12" ht="49.95" customHeight="1" x14ac:dyDescent="0.3">
      <c r="A157" s="3" t="s">
        <v>390</v>
      </c>
      <c r="B157" s="2" t="s">
        <v>391</v>
      </c>
      <c r="C157" s="2"/>
      <c r="D157" s="2" t="s">
        <v>45</v>
      </c>
      <c r="E157" s="4" t="str">
        <f>IF(ISERROR("LD_DIST"),"",HYPERLINK("#INDEX('Value Lookup'!A:A,MATCH(A" &amp; ROW() &amp; ",'Value Lookup'!A:A,0))","Value Lookup"))</f>
        <v>Value Lookup</v>
      </c>
      <c r="F157" s="4" t="str">
        <f>IF(ISERROR("LD_DIST"),"",HYPERLINK("#INDEX('Frequencies'!A:A,MATCH(A" &amp; ROW() &amp; ",'Frequencies'!A:A,0))","Frequencies"))</f>
        <v>Frequencies</v>
      </c>
      <c r="G157" s="2">
        <v>83</v>
      </c>
      <c r="H157" s="2"/>
      <c r="I157" s="2"/>
      <c r="J157" s="2"/>
      <c r="K157" s="2"/>
      <c r="L157" s="2"/>
    </row>
    <row r="158" spans="1:12" ht="49.95" customHeight="1" x14ac:dyDescent="0.3">
      <c r="A158" s="3" t="s">
        <v>392</v>
      </c>
      <c r="B158" s="2" t="s">
        <v>393</v>
      </c>
      <c r="C158" s="2"/>
      <c r="D158" s="2" t="s">
        <v>15</v>
      </c>
      <c r="E158" s="4" t="str">
        <f>IF(ISERROR("LIF_CYC"),"",HYPERLINK("#INDEX('Value Lookup'!A:A,MATCH(A" &amp; ROW() &amp; ",'Value Lookup'!A:A,0))","Value Lookup"))</f>
        <v>Value Lookup</v>
      </c>
      <c r="F158" s="4" t="str">
        <f>IF(ISERROR("LIF_CYC"),"",HYPERLINK("#INDEX('Frequencies'!A:A,MATCH(A" &amp; ROW() &amp; ",'Frequencies'!A:A,0))","Frequencies"))</f>
        <v>Frequencies</v>
      </c>
      <c r="G158" s="2">
        <v>75</v>
      </c>
      <c r="H158" s="2"/>
      <c r="I158" s="2"/>
      <c r="J158" s="2"/>
      <c r="K158" s="2"/>
      <c r="L158" s="2"/>
    </row>
    <row r="159" spans="1:12" ht="49.95" customHeight="1" x14ac:dyDescent="0.3">
      <c r="A159" s="3" t="s">
        <v>394</v>
      </c>
      <c r="B159" s="2" t="s">
        <v>395</v>
      </c>
      <c r="C159" s="2" t="s">
        <v>396</v>
      </c>
      <c r="D159" s="2" t="s">
        <v>15</v>
      </c>
      <c r="E159" s="2" t="str">
        <f>IF(ISERROR("LOCNAME"),"","NA")</f>
        <v>NA</v>
      </c>
      <c r="F159" s="4" t="str">
        <f>IF(ISERROR("LOCNAME"),"",HYPERLINK("#INDEX('Frequencies'!A:A,MATCH(A" &amp; ROW() &amp; ",'Frequencies'!A:A,0))","Frequencies"))</f>
        <v>Frequencies</v>
      </c>
      <c r="G159" s="2"/>
      <c r="H159" s="2"/>
      <c r="I159" s="2"/>
      <c r="J159" s="2"/>
      <c r="K159" s="2">
        <v>7</v>
      </c>
      <c r="L159" s="2"/>
    </row>
    <row r="160" spans="1:12" ht="49.95" customHeight="1" x14ac:dyDescent="0.3">
      <c r="A160" s="3" t="s">
        <v>397</v>
      </c>
      <c r="B160" s="2" t="s">
        <v>398</v>
      </c>
      <c r="C160" s="2"/>
      <c r="D160" s="2" t="s">
        <v>15</v>
      </c>
      <c r="E160" s="2" t="str">
        <f>IF(ISERROR("LOCNO"),"","NA")</f>
        <v>NA</v>
      </c>
      <c r="F160" s="4" t="str">
        <f>IF(ISERROR("LOCNO"),"",HYPERLINK("#INDEX('Frequencies'!A:A,MATCH(A" &amp; ROW() &amp; ",'Frequencies'!A:A,0))","Frequencies"))</f>
        <v>Frequencies</v>
      </c>
      <c r="G160" s="2"/>
      <c r="H160" s="2"/>
      <c r="I160" s="2"/>
      <c r="J160" s="2">
        <v>5</v>
      </c>
      <c r="K160" s="2">
        <v>2</v>
      </c>
      <c r="L160" s="2"/>
    </row>
    <row r="161" spans="1:12" ht="49.95" customHeight="1" x14ac:dyDescent="0.3">
      <c r="A161" s="3" t="s">
        <v>399</v>
      </c>
      <c r="B161" s="2" t="s">
        <v>400</v>
      </c>
      <c r="C161" s="2"/>
      <c r="D161" s="2" t="s">
        <v>15</v>
      </c>
      <c r="E161" s="4" t="str">
        <f>IF(ISERROR("LOCTYPE"),"",HYPERLINK("#INDEX('Value Lookup'!A:A,MATCH(A" &amp; ROW() &amp; ",'Value Lookup'!A:A,0))","Value Lookup"))</f>
        <v>Value Lookup</v>
      </c>
      <c r="F161" s="4" t="str">
        <f>IF(ISERROR("LOCTYPE"),"",HYPERLINK("#INDEX('Frequencies'!A:A,MATCH(A" &amp; ROW() &amp; ",'Frequencies'!A:A,0))","Frequencies"))</f>
        <v>Frequencies</v>
      </c>
      <c r="G161" s="2"/>
      <c r="H161" s="2"/>
      <c r="I161" s="2"/>
      <c r="J161" s="2"/>
      <c r="K161" s="2">
        <v>4</v>
      </c>
      <c r="L161" s="2"/>
    </row>
    <row r="162" spans="1:12" ht="49.95" customHeight="1" x14ac:dyDescent="0.3">
      <c r="A162" s="3" t="s">
        <v>401</v>
      </c>
      <c r="B162" s="2" t="s">
        <v>402</v>
      </c>
      <c r="C162" s="2"/>
      <c r="D162" s="2" t="s">
        <v>15</v>
      </c>
      <c r="E162" s="2" t="str">
        <f>IF(ISERROR("LONGITUDE"),"","NA")</f>
        <v>NA</v>
      </c>
      <c r="F162" s="4" t="str">
        <f>IF(ISERROR("LONGITUDE"),"",HYPERLINK("#INDEX('Frequencies'!A:A,MATCH(A" &amp; ROW() &amp; ",'Frequencies'!A:A,0))","Frequencies"))</f>
        <v>Frequencies</v>
      </c>
      <c r="G162" s="2"/>
      <c r="H162" s="2"/>
      <c r="I162" s="2"/>
      <c r="J162" s="2"/>
      <c r="K162" s="2">
        <v>5</v>
      </c>
      <c r="L162" s="2"/>
    </row>
    <row r="163" spans="1:12" ht="49.95" customHeight="1" x14ac:dyDescent="0.3">
      <c r="A163" s="3" t="s">
        <v>403</v>
      </c>
      <c r="B163" s="2" t="s">
        <v>404</v>
      </c>
      <c r="C163" s="2"/>
      <c r="D163" s="2" t="s">
        <v>15</v>
      </c>
      <c r="E163" s="2" t="str">
        <f>IF(ISERROR("LOOP_TRIP"),"","NA")</f>
        <v>NA</v>
      </c>
      <c r="F163" s="4" t="str">
        <f>IF(ISERROR("LOOP_TRIP"),"",HYPERLINK("#INDEX('Frequencies'!A:A,MATCH(A" &amp; ROW() &amp; ",'Frequencies'!A:A,0))","Frequencies"))</f>
        <v>Frequencies</v>
      </c>
      <c r="G163" s="2"/>
      <c r="H163" s="2"/>
      <c r="I163" s="2"/>
      <c r="J163" s="2">
        <v>38</v>
      </c>
      <c r="K163" s="2"/>
      <c r="L163" s="2"/>
    </row>
    <row r="164" spans="1:12" ht="49.95" customHeight="1" x14ac:dyDescent="0.3">
      <c r="A164" s="3" t="s">
        <v>405</v>
      </c>
      <c r="B164" s="2" t="s">
        <v>406</v>
      </c>
      <c r="C164" s="2" t="s">
        <v>407</v>
      </c>
      <c r="D164" s="2" t="s">
        <v>45</v>
      </c>
      <c r="E164" s="2" t="str">
        <f>IF(ISERROR("LPACT"),"","Range: 0 - 21")</f>
        <v>Range: 0 - 21</v>
      </c>
      <c r="F164" s="4" t="str">
        <f>IF(ISERROR("LPACT"),"",HYPERLINK("#INDEX('Frequencies'!A:A,MATCH(A" &amp; ROW() &amp; ",'Frequencies'!A:A,0))","Frequencies"))</f>
        <v>Frequencies</v>
      </c>
      <c r="G164" s="2"/>
      <c r="H164" s="2">
        <v>73</v>
      </c>
      <c r="I164" s="2"/>
      <c r="J164" s="2"/>
      <c r="K164" s="2"/>
      <c r="L164" s="2"/>
    </row>
    <row r="165" spans="1:12" ht="49.95" customHeight="1" x14ac:dyDescent="0.3">
      <c r="A165" s="3" t="s">
        <v>408</v>
      </c>
      <c r="B165" s="2" t="s">
        <v>409</v>
      </c>
      <c r="C165" s="2" t="s">
        <v>410</v>
      </c>
      <c r="D165" s="2" t="s">
        <v>15</v>
      </c>
      <c r="E165" s="4" t="str">
        <f>IF(ISERROR("LSTTRDAY17"),"",HYPERLINK("#INDEX('Value Lookup'!A:A,MATCH(A" &amp; ROW() &amp; ",'Value Lookup'!A:A,0))","Value Lookup"))</f>
        <v>Value Lookup</v>
      </c>
      <c r="F165" s="4" t="str">
        <f>IF(ISERROR("LSTTRDAY17"),"",HYPERLINK("#INDEX('Frequencies'!A:A,MATCH(A" &amp; ROW() &amp; ",'Frequencies'!A:A,0))","Frequencies"))</f>
        <v>Frequencies</v>
      </c>
      <c r="G165" s="2"/>
      <c r="H165" s="2">
        <v>19</v>
      </c>
      <c r="I165" s="2"/>
      <c r="J165" s="2"/>
      <c r="K165" s="2"/>
      <c r="L165" s="2"/>
    </row>
    <row r="166" spans="1:12" ht="49.95" customHeight="1" x14ac:dyDescent="0.3">
      <c r="A166" s="3" t="s">
        <v>411</v>
      </c>
      <c r="B166" s="2" t="s">
        <v>412</v>
      </c>
      <c r="C166" s="2" t="s">
        <v>413</v>
      </c>
      <c r="D166" s="2" t="s">
        <v>15</v>
      </c>
      <c r="E166" s="4" t="str">
        <f>IF(ISERROR("MAKE"),"",HYPERLINK("#INDEX('Value Lookup'!A:A,MATCH(A" &amp; ROW() &amp; ",'Value Lookup'!A:A,0))","Value Lookup"))</f>
        <v>Value Lookup</v>
      </c>
      <c r="F166" s="4" t="str">
        <f>IF(ISERROR("MAKE"),"",HYPERLINK("#INDEX('Frequencies'!A:A,MATCH(A" &amp; ROW() &amp; ",'Frequencies'!A:A,0))","Frequencies"))</f>
        <v>Frequencies</v>
      </c>
      <c r="G166" s="2"/>
      <c r="H166" s="2"/>
      <c r="I166" s="2">
        <v>5</v>
      </c>
      <c r="J166" s="2"/>
      <c r="K166" s="2"/>
      <c r="L166" s="2"/>
    </row>
    <row r="167" spans="1:12" ht="49.95" customHeight="1" x14ac:dyDescent="0.3">
      <c r="A167" s="3" t="s">
        <v>414</v>
      </c>
      <c r="B167" s="2" t="s">
        <v>415</v>
      </c>
      <c r="C167" s="2" t="s">
        <v>416</v>
      </c>
      <c r="D167" s="2" t="s">
        <v>15</v>
      </c>
      <c r="E167" s="4" t="str">
        <f>IF(ISERROR("MAKE_O"),"",HYPERLINK("#INDEX('Value Lookup'!A:A,MATCH(A" &amp; ROW() &amp; ",'Value Lookup'!A:A,0))","Value Lookup"))</f>
        <v>Value Lookup</v>
      </c>
      <c r="F167" s="4" t="str">
        <f>IF(ISERROR("MAKE_O"),"",HYPERLINK("#INDEX('Frequencies'!A:A,MATCH(A" &amp; ROW() &amp; ",'Frequencies'!A:A,0))","Frequencies"))</f>
        <v>Frequencies</v>
      </c>
      <c r="G167" s="2"/>
      <c r="H167" s="2"/>
      <c r="I167" s="2">
        <v>6</v>
      </c>
      <c r="J167" s="2"/>
      <c r="K167" s="2"/>
      <c r="L167" s="2"/>
    </row>
    <row r="168" spans="1:12" ht="49.95" customHeight="1" x14ac:dyDescent="0.3">
      <c r="A168" s="3" t="s">
        <v>417</v>
      </c>
      <c r="B168" s="2" t="s">
        <v>418</v>
      </c>
      <c r="C168" s="2" t="s">
        <v>419</v>
      </c>
      <c r="D168" s="2" t="s">
        <v>15</v>
      </c>
      <c r="E168" s="4" t="str">
        <f>IF(ISERROR("MCA8_OS"),"",HYPERLINK("#INDEX('Value Lookup'!A:A,MATCH(A" &amp; ROW() &amp; ",'Value Lookup'!A:A,0))","Value Lookup"))</f>
        <v>Value Lookup</v>
      </c>
      <c r="F168" s="4" t="str">
        <f>IF(ISERROR("MCA8_OS"),"",HYPERLINK("#INDEX('Frequencies'!A:A,MATCH(A" &amp; ROW() &amp; ",'Frequencies'!A:A,0))","Frequencies"))</f>
        <v>Frequencies</v>
      </c>
      <c r="G168" s="2"/>
      <c r="H168" s="2">
        <v>115</v>
      </c>
      <c r="I168" s="2"/>
      <c r="J168" s="2"/>
      <c r="K168" s="2"/>
      <c r="L168" s="2"/>
    </row>
    <row r="169" spans="1:12" ht="49.95" customHeight="1" x14ac:dyDescent="0.3">
      <c r="A169" s="3" t="s">
        <v>420</v>
      </c>
      <c r="B169" s="2" t="s">
        <v>421</v>
      </c>
      <c r="C169" s="2" t="s">
        <v>422</v>
      </c>
      <c r="D169" s="2" t="s">
        <v>15</v>
      </c>
      <c r="E169" s="4" t="str">
        <f>IF(ISERROR("MCA8_OTH"),"",HYPERLINK("#INDEX('Value Lookup'!A:A,MATCH(A" &amp; ROW() &amp; ",'Value Lookup'!A:A,0))","Value Lookup"))</f>
        <v>Value Lookup</v>
      </c>
      <c r="F169" s="4" t="str">
        <f>IF(ISERROR("MCA8_OTH"),"",HYPERLINK("#INDEX('Frequencies'!A:A,MATCH(A" &amp; ROW() &amp; ",'Frequencies'!A:A,0))","Frequencies"))</f>
        <v>Frequencies</v>
      </c>
      <c r="G169" s="2"/>
      <c r="H169" s="2">
        <v>116</v>
      </c>
      <c r="I169" s="2"/>
      <c r="J169" s="2"/>
      <c r="K169" s="2"/>
      <c r="L169" s="2"/>
    </row>
    <row r="170" spans="1:12" ht="49.95" customHeight="1" x14ac:dyDescent="0.3">
      <c r="A170" s="3" t="s">
        <v>423</v>
      </c>
      <c r="B170" s="2" t="s">
        <v>424</v>
      </c>
      <c r="C170" s="2" t="s">
        <v>425</v>
      </c>
      <c r="D170" s="2" t="s">
        <v>45</v>
      </c>
      <c r="E170" s="2" t="str">
        <f>IF(ISERROR("MCUSED"),"","Range: 0 - 99")</f>
        <v>Range: 0 - 99</v>
      </c>
      <c r="F170" s="4" t="str">
        <f>IF(ISERROR("MCUSED"),"",HYPERLINK("#INDEX('Frequencies'!A:A,MATCH(A" &amp; ROW() &amp; ",'Frequencies'!A:A,0))","Frequencies"))</f>
        <v>Frequencies</v>
      </c>
      <c r="G170" s="2"/>
      <c r="H170" s="2">
        <v>47</v>
      </c>
      <c r="I170" s="2"/>
      <c r="J170" s="2"/>
      <c r="K170" s="2"/>
      <c r="L170" s="2"/>
    </row>
    <row r="171" spans="1:12" ht="49.95" customHeight="1" x14ac:dyDescent="0.3">
      <c r="A171" s="3" t="s">
        <v>426</v>
      </c>
      <c r="B171" s="2" t="s">
        <v>427</v>
      </c>
      <c r="C171" s="2" t="s">
        <v>428</v>
      </c>
      <c r="D171" s="2" t="s">
        <v>15</v>
      </c>
      <c r="E171" s="4" t="str">
        <f>IF(ISERROR("MEDCOND"),"",HYPERLINK("#INDEX('Value Lookup'!A:A,MATCH(A" &amp; ROW() &amp; ",'Value Lookup'!A:A,0))","Value Lookup"))</f>
        <v>Value Lookup</v>
      </c>
      <c r="F171" s="4" t="str">
        <f>IF(ISERROR("MEDCOND"),"",HYPERLINK("#INDEX('Frequencies'!A:A,MATCH(A" &amp; ROW() &amp; ",'Frequencies'!A:A,0))","Frequencies"))</f>
        <v>Frequencies</v>
      </c>
      <c r="G171" s="2"/>
      <c r="H171" s="2">
        <v>68</v>
      </c>
      <c r="I171" s="2"/>
      <c r="J171" s="2"/>
      <c r="K171" s="2"/>
      <c r="L171" s="2"/>
    </row>
    <row r="172" spans="1:12" ht="49.95" customHeight="1" x14ac:dyDescent="0.3">
      <c r="A172" s="3" t="s">
        <v>429</v>
      </c>
      <c r="B172" s="2" t="s">
        <v>430</v>
      </c>
      <c r="C172" s="2" t="s">
        <v>431</v>
      </c>
      <c r="D172" s="2" t="s">
        <v>15</v>
      </c>
      <c r="E172" s="4" t="str">
        <f>IF(ISERROR("MEDCOND6"),"",HYPERLINK("#INDEX('Value Lookup'!A:A,MATCH(A" &amp; ROW() &amp; ",'Value Lookup'!A:A,0))","Value Lookup"))</f>
        <v>Value Lookup</v>
      </c>
      <c r="F172" s="4" t="str">
        <f>IF(ISERROR("MEDCOND6"),"",HYPERLINK("#INDEX('Frequencies'!A:A,MATCH(A" &amp; ROW() &amp; ",'Frequencies'!A:A,0))","Frequencies"))</f>
        <v>Frequencies</v>
      </c>
      <c r="G172" s="2"/>
      <c r="H172" s="2">
        <v>69</v>
      </c>
      <c r="I172" s="2"/>
      <c r="J172" s="2"/>
      <c r="K172" s="2"/>
      <c r="L172" s="2"/>
    </row>
    <row r="173" spans="1:12" ht="49.95" customHeight="1" x14ac:dyDescent="0.3">
      <c r="A173" s="3" t="s">
        <v>432</v>
      </c>
      <c r="B173" s="2" t="s">
        <v>433</v>
      </c>
      <c r="C173" s="2" t="s">
        <v>434</v>
      </c>
      <c r="D173" s="2" t="s">
        <v>15</v>
      </c>
      <c r="E173" s="4" t="str">
        <f>IF(ISERROR("MODEL"),"",HYPERLINK("#INDEX('Value Lookup'!A:A,MATCH(A" &amp; ROW() &amp; ",'Value Lookup'!A:A,0))","Value Lookup"))</f>
        <v>Value Lookup</v>
      </c>
      <c r="F173" s="4" t="str">
        <f>IF(ISERROR("MODEL"),"",HYPERLINK("#INDEX('Frequencies'!A:A,MATCH(A" &amp; ROW() &amp; ",'Frequencies'!A:A,0))","Frequencies"))</f>
        <v>Frequencies</v>
      </c>
      <c r="G173" s="2"/>
      <c r="H173" s="2"/>
      <c r="I173" s="2">
        <v>7</v>
      </c>
      <c r="J173" s="2"/>
      <c r="K173" s="2"/>
      <c r="L173" s="2"/>
    </row>
    <row r="174" spans="1:12" ht="49.95" customHeight="1" x14ac:dyDescent="0.3">
      <c r="A174" s="3" t="s">
        <v>435</v>
      </c>
      <c r="B174" s="2" t="s">
        <v>436</v>
      </c>
      <c r="C174" s="2" t="s">
        <v>437</v>
      </c>
      <c r="D174" s="2" t="s">
        <v>15</v>
      </c>
      <c r="E174" s="4" t="str">
        <f>IF(ISERROR("MODEL_O"),"",HYPERLINK("#INDEX('Value Lookup'!A:A,MATCH(A" &amp; ROW() &amp; ",'Value Lookup'!A:A,0))","Value Lookup"))</f>
        <v>Value Lookup</v>
      </c>
      <c r="F174" s="4" t="str">
        <f>IF(ISERROR("MODEL_O"),"",HYPERLINK("#INDEX('Frequencies'!A:A,MATCH(A" &amp; ROW() &amp; ",'Frequencies'!A:A,0))","Frequencies"))</f>
        <v>Frequencies</v>
      </c>
      <c r="G174" s="2"/>
      <c r="H174" s="2"/>
      <c r="I174" s="2">
        <v>8</v>
      </c>
      <c r="J174" s="2"/>
      <c r="K174" s="2"/>
      <c r="L174" s="2"/>
    </row>
    <row r="175" spans="1:12" ht="49.95" customHeight="1" x14ac:dyDescent="0.3">
      <c r="A175" s="3" t="s">
        <v>438</v>
      </c>
      <c r="B175" s="2" t="s">
        <v>439</v>
      </c>
      <c r="C175" s="2"/>
      <c r="D175" s="2" t="s">
        <v>15</v>
      </c>
      <c r="E175" s="4" t="str">
        <f>IF(ISERROR("MSACAT"),"",HYPERLINK("#INDEX('Value Lookup'!A:A,MATCH(A" &amp; ROW() &amp; ",'Value Lookup'!A:A,0))","Value Lookup"))</f>
        <v>Value Lookup</v>
      </c>
      <c r="F175" s="4" t="str">
        <f>IF(ISERROR("MSACAT"),"",HYPERLINK("#INDEX('Frequencies'!A:A,MATCH(A" &amp; ROW() &amp; ",'Frequencies'!A:A,0))","Frequencies"))</f>
        <v>Frequencies</v>
      </c>
      <c r="G175" s="2">
        <v>76</v>
      </c>
      <c r="H175" s="2"/>
      <c r="I175" s="2"/>
      <c r="J175" s="2"/>
      <c r="K175" s="2"/>
      <c r="L175" s="2"/>
    </row>
    <row r="176" spans="1:12" ht="49.95" customHeight="1" x14ac:dyDescent="0.3">
      <c r="A176" s="3" t="s">
        <v>440</v>
      </c>
      <c r="B176" s="2" t="s">
        <v>441</v>
      </c>
      <c r="C176" s="2"/>
      <c r="D176" s="2" t="s">
        <v>15</v>
      </c>
      <c r="E176" s="4" t="str">
        <f>IF(ISERROR("MSASIZE"),"",HYPERLINK("#INDEX('Value Lookup'!A:A,MATCH(A" &amp; ROW() &amp; ",'Value Lookup'!A:A,0))","Value Lookup"))</f>
        <v>Value Lookup</v>
      </c>
      <c r="F176" s="4" t="str">
        <f>IF(ISERROR("MSASIZE"),"",HYPERLINK("#INDEX('Frequencies'!A:A,MATCH(A" &amp; ROW() &amp; ",'Frequencies'!A:A,0))","Frequencies"))</f>
        <v>Frequencies</v>
      </c>
      <c r="G176" s="2">
        <v>77</v>
      </c>
      <c r="H176" s="2"/>
      <c r="I176" s="2"/>
      <c r="J176" s="2"/>
      <c r="K176" s="2"/>
      <c r="L176" s="2"/>
    </row>
    <row r="177" spans="1:12" ht="49.95" customHeight="1" x14ac:dyDescent="0.3">
      <c r="A177" s="3" t="s">
        <v>442</v>
      </c>
      <c r="B177" s="2" t="s">
        <v>443</v>
      </c>
      <c r="C177" s="2" t="s">
        <v>444</v>
      </c>
      <c r="D177" s="2" t="s">
        <v>45</v>
      </c>
      <c r="E177" s="2" t="str">
        <f>IF(ISERROR("NBIKETRP"),"","Range: 0 - 99")</f>
        <v>Range: 0 - 99</v>
      </c>
      <c r="F177" s="4" t="str">
        <f>IF(ISERROR("NBIKETRP"),"",HYPERLINK("#INDEX('Frequencies'!A:A,MATCH(A" &amp; ROW() &amp; ",'Frequencies'!A:A,0))","Frequencies"))</f>
        <v>Frequencies</v>
      </c>
      <c r="G177" s="2"/>
      <c r="H177" s="2">
        <v>25</v>
      </c>
      <c r="I177" s="2"/>
      <c r="J177" s="2"/>
      <c r="K177" s="2"/>
      <c r="L177" s="2"/>
    </row>
    <row r="178" spans="1:12" ht="49.95" customHeight="1" x14ac:dyDescent="0.3">
      <c r="A178" s="3" t="s">
        <v>445</v>
      </c>
      <c r="B178" s="2" t="s">
        <v>446</v>
      </c>
      <c r="C178" s="2" t="s">
        <v>447</v>
      </c>
      <c r="D178" s="2" t="s">
        <v>45</v>
      </c>
      <c r="E178" s="2" t="str">
        <f>IF(ISERROR("NOCONG"),"","Range: 0 - 180")</f>
        <v>Range: 0 - 180</v>
      </c>
      <c r="F178" s="4" t="str">
        <f>IF(ISERROR("NOCONG"),"",HYPERLINK("#INDEX('Frequencies'!A:A,MATCH(A" &amp; ROW() &amp; ",'Frequencies'!A:A,0))","Frequencies"))</f>
        <v>Frequencies</v>
      </c>
      <c r="G178" s="2"/>
      <c r="H178" s="2">
        <v>52</v>
      </c>
      <c r="I178" s="2"/>
      <c r="J178" s="2"/>
      <c r="K178" s="2"/>
      <c r="L178" s="2"/>
    </row>
    <row r="179" spans="1:12" ht="49.95" customHeight="1" x14ac:dyDescent="0.3">
      <c r="A179" s="3" t="s">
        <v>448</v>
      </c>
      <c r="B179" s="2" t="s">
        <v>449</v>
      </c>
      <c r="C179" s="2"/>
      <c r="D179" s="2" t="s">
        <v>15</v>
      </c>
      <c r="E179" s="4" t="str">
        <f>IF(ISERROR("NONHHCNT"),"",HYPERLINK("#INDEX('Value Lookup'!A:A,MATCH(A" &amp; ROW() &amp; ",'Value Lookup'!A:A,0))","Value Lookup"))</f>
        <v>Value Lookup</v>
      </c>
      <c r="F179" s="4" t="str">
        <f>IF(ISERROR("NONHHCNT"),"",HYPERLINK("#INDEX('Frequencies'!A:A,MATCH(A" &amp; ROW() &amp; ",'Frequencies'!A:A,0))","Frequencies"))</f>
        <v>Frequencies</v>
      </c>
      <c r="G179" s="2"/>
      <c r="H179" s="2"/>
      <c r="I179" s="2"/>
      <c r="J179" s="2">
        <v>43</v>
      </c>
      <c r="K179" s="2"/>
      <c r="L179" s="2"/>
    </row>
    <row r="180" spans="1:12" ht="49.95" customHeight="1" x14ac:dyDescent="0.3">
      <c r="A180" s="3" t="s">
        <v>450</v>
      </c>
      <c r="B180" s="2" t="s">
        <v>451</v>
      </c>
      <c r="C180" s="2"/>
      <c r="D180" s="2" t="s">
        <v>45</v>
      </c>
      <c r="E180" s="2" t="str">
        <f>IF(ISERROR("NUMADLT"),"","NA")</f>
        <v>NA</v>
      </c>
      <c r="F180" s="4" t="str">
        <f>IF(ISERROR("NUMADLT"),"",HYPERLINK("#INDEX('Frequencies'!A:A,MATCH(A" &amp; ROW() &amp; ",'Frequencies'!A:A,0))","Frequencies"))</f>
        <v>Frequencies</v>
      </c>
      <c r="G180" s="2">
        <v>70</v>
      </c>
      <c r="H180" s="2"/>
      <c r="I180" s="2"/>
      <c r="J180" s="2"/>
      <c r="K180" s="2"/>
      <c r="L180" s="2"/>
    </row>
    <row r="181" spans="1:12" ht="49.95" customHeight="1" x14ac:dyDescent="0.3">
      <c r="A181" s="3" t="s">
        <v>452</v>
      </c>
      <c r="B181" s="2" t="s">
        <v>453</v>
      </c>
      <c r="C181" s="2"/>
      <c r="D181" s="2" t="s">
        <v>45</v>
      </c>
      <c r="E181" s="4" t="str">
        <f>IF(ISERROR("NUMONTRP"),"",HYPERLINK("#INDEX('Value Lookup'!A:A,MATCH(A" &amp; ROW() &amp; ",'Value Lookup'!A:A,0))","Value Lookup"))</f>
        <v>Value Lookup</v>
      </c>
      <c r="F181" s="4" t="str">
        <f>IF(ISERROR("NUMONTRP"),"",HYPERLINK("#INDEX('Frequencies'!A:A,MATCH(A" &amp; ROW() &amp; ",'Frequencies'!A:A,0))","Frequencies"))</f>
        <v>Frequencies</v>
      </c>
      <c r="G181" s="2"/>
      <c r="H181" s="2"/>
      <c r="I181" s="2"/>
      <c r="J181" s="2">
        <v>44</v>
      </c>
      <c r="K181" s="2"/>
      <c r="L181" s="2"/>
    </row>
    <row r="182" spans="1:12" ht="49.95" customHeight="1" x14ac:dyDescent="0.3">
      <c r="A182" s="3" t="s">
        <v>454</v>
      </c>
      <c r="B182" s="2" t="s">
        <v>455</v>
      </c>
      <c r="C182" s="2" t="s">
        <v>456</v>
      </c>
      <c r="D182" s="2" t="s">
        <v>45</v>
      </c>
      <c r="E182" s="2" t="str">
        <f>IF(ISERROR("NUMTRANS"),"","Range: 0 - 10")</f>
        <v>Range: 0 - 10</v>
      </c>
      <c r="F182" s="4" t="str">
        <f>IF(ISERROR("NUMTRANS"),"",HYPERLINK("#INDEX('Frequencies'!A:A,MATCH(A" &amp; ROW() &amp; ",'Frequencies'!A:A,0))","Frequencies"))</f>
        <v>Frequencies</v>
      </c>
      <c r="G182" s="2"/>
      <c r="H182" s="2"/>
      <c r="I182" s="2"/>
      <c r="J182" s="2">
        <v>29</v>
      </c>
      <c r="K182" s="2"/>
      <c r="L182" s="2"/>
    </row>
    <row r="183" spans="1:12" ht="49.95" customHeight="1" x14ac:dyDescent="0.3">
      <c r="A183" s="3" t="s">
        <v>457</v>
      </c>
      <c r="B183" s="2" t="s">
        <v>458</v>
      </c>
      <c r="C183" s="2" t="s">
        <v>459</v>
      </c>
      <c r="D183" s="2" t="s">
        <v>45</v>
      </c>
      <c r="E183" s="2" t="str">
        <f>IF(ISERROR("NWALKTRP"),"","Range: 0 - 99")</f>
        <v>Range: 0 - 99</v>
      </c>
      <c r="F183" s="4" t="str">
        <f>IF(ISERROR("NWALKTRP"),"",HYPERLINK("#INDEX('Frequencies'!A:A,MATCH(A" &amp; ROW() &amp; ",'Frequencies'!A:A,0))","Frequencies"))</f>
        <v>Frequencies</v>
      </c>
      <c r="G183" s="2"/>
      <c r="H183" s="2">
        <v>23</v>
      </c>
      <c r="I183" s="2"/>
      <c r="J183" s="2"/>
      <c r="K183" s="2"/>
      <c r="L183" s="2"/>
    </row>
    <row r="184" spans="1:12" ht="49.95" customHeight="1" x14ac:dyDescent="0.3">
      <c r="A184" s="3" t="s">
        <v>460</v>
      </c>
      <c r="B184" s="2" t="s">
        <v>461</v>
      </c>
      <c r="C184" s="2" t="s">
        <v>462</v>
      </c>
      <c r="D184" s="2" t="s">
        <v>15</v>
      </c>
      <c r="E184" s="4" t="str">
        <f>IF(ISERROR("OCCAT"),"",HYPERLINK("#INDEX('Value Lookup'!A:A,MATCH(A" &amp; ROW() &amp; ",'Value Lookup'!A:A,0))","Value Lookup"))</f>
        <v>Value Lookup</v>
      </c>
      <c r="F184" s="4" t="str">
        <f>IF(ISERROR("OCCAT"),"",HYPERLINK("#INDEX('Frequencies'!A:A,MATCH(A" &amp; ROW() &amp; ",'Frequencies'!A:A,0))","Frequencies"))</f>
        <v>Frequencies</v>
      </c>
      <c r="G184" s="2"/>
      <c r="H184" s="2">
        <v>20</v>
      </c>
      <c r="I184" s="2"/>
      <c r="J184" s="2"/>
      <c r="K184" s="2"/>
      <c r="L184" s="2"/>
    </row>
    <row r="185" spans="1:12" ht="49.95" customHeight="1" x14ac:dyDescent="0.3">
      <c r="A185" s="3" t="s">
        <v>463</v>
      </c>
      <c r="B185" s="2" t="s">
        <v>464</v>
      </c>
      <c r="C185" s="2" t="s">
        <v>465</v>
      </c>
      <c r="D185" s="2" t="s">
        <v>15</v>
      </c>
      <c r="E185" s="4" t="str">
        <f>IF(ISERROR("OD_DATE"),"",HYPERLINK("#INDEX('Value Lookup'!A:A,MATCH(A" &amp; ROW() &amp; ",'Value Lookup'!A:A,0))","Value Lookup"))</f>
        <v>Value Lookup</v>
      </c>
      <c r="F185" s="4" t="str">
        <f>IF(ISERROR("OD_DATE"),"",HYPERLINK("#INDEX('Frequencies'!A:A,MATCH(A" &amp; ROW() &amp; ",'Frequencies'!A:A,0))","Frequencies"))</f>
        <v>Frequencies</v>
      </c>
      <c r="G185" s="2"/>
      <c r="H185" s="2"/>
      <c r="I185" s="2">
        <v>15</v>
      </c>
      <c r="J185" s="2"/>
      <c r="K185" s="2"/>
      <c r="L185" s="2"/>
    </row>
    <row r="186" spans="1:12" ht="49.95" customHeight="1" x14ac:dyDescent="0.3">
      <c r="A186" s="3" t="s">
        <v>466</v>
      </c>
      <c r="B186" s="2" t="s">
        <v>467</v>
      </c>
      <c r="C186" s="2"/>
      <c r="D186" s="2" t="s">
        <v>15</v>
      </c>
      <c r="E186" s="4" t="str">
        <f>IF(ISERROR("OD_DAY"),"",HYPERLINK("#INDEX('Value Lookup'!A:A,MATCH(A" &amp; ROW() &amp; ",'Value Lookup'!A:A,0))","Value Lookup"))</f>
        <v>Value Lookup</v>
      </c>
      <c r="F186" s="4" t="str">
        <f>IF(ISERROR("OD_DAY"),"",HYPERLINK("#INDEX('Frequencies'!A:A,MATCH(A" &amp; ROW() &amp; ",'Frequencies'!A:A,0))","Frequencies"))</f>
        <v>Frequencies</v>
      </c>
      <c r="G186" s="2"/>
      <c r="H186" s="2"/>
      <c r="I186" s="2">
        <v>18</v>
      </c>
      <c r="J186" s="2"/>
      <c r="K186" s="2"/>
      <c r="L186" s="2"/>
    </row>
    <row r="187" spans="1:12" ht="49.95" customHeight="1" x14ac:dyDescent="0.3">
      <c r="A187" s="3" t="s">
        <v>468</v>
      </c>
      <c r="B187" s="2" t="s">
        <v>469</v>
      </c>
      <c r="C187" s="2" t="s">
        <v>470</v>
      </c>
      <c r="D187" s="2" t="s">
        <v>15</v>
      </c>
      <c r="E187" s="4" t="str">
        <f>IF(ISERROR("ODEVICE"),"",HYPERLINK("#INDEX('Value Lookup'!A:A,MATCH(A" &amp; ROW() &amp; ",'Value Lookup'!A:A,0))","Value Lookup"))</f>
        <v>Value Lookup</v>
      </c>
      <c r="F187" s="4" t="str">
        <f>IF(ISERROR("ODEVICE"),"",HYPERLINK("#INDEX('Frequencies'!A:A,MATCH(A" &amp; ROW() &amp; ",'Frequencies'!A:A,0))","Frequencies"))</f>
        <v>Frequencies</v>
      </c>
      <c r="G187" s="2">
        <v>20</v>
      </c>
      <c r="H187" s="2"/>
      <c r="I187" s="2"/>
      <c r="J187" s="2"/>
      <c r="K187" s="2"/>
      <c r="L187" s="2"/>
    </row>
    <row r="188" spans="1:12" ht="49.95" customHeight="1" x14ac:dyDescent="0.3">
      <c r="A188" s="3" t="s">
        <v>471</v>
      </c>
      <c r="B188" s="2" t="s">
        <v>472</v>
      </c>
      <c r="C188" s="2" t="s">
        <v>422</v>
      </c>
      <c r="D188" s="2" t="s">
        <v>15</v>
      </c>
      <c r="E188" s="4" t="str">
        <f>IF(ISERROR("ODEVICE_O"),"",HYPERLINK("#INDEX('Value Lookup'!A:A,MATCH(A" &amp; ROW() &amp; ",'Value Lookup'!A:A,0))","Value Lookup"))</f>
        <v>Value Lookup</v>
      </c>
      <c r="F188" s="4" t="str">
        <f>IF(ISERROR("ODEVICE_O"),"",HYPERLINK("#INDEX('Frequencies'!A:A,MATCH(A" &amp; ROW() &amp; ",'Frequencies'!A:A,0))","Frequencies"))</f>
        <v>Frequencies</v>
      </c>
      <c r="G188" s="2">
        <v>21</v>
      </c>
      <c r="H188" s="2"/>
      <c r="I188" s="2"/>
      <c r="J188" s="2"/>
      <c r="K188" s="2"/>
      <c r="L188" s="2"/>
    </row>
    <row r="189" spans="1:12" ht="49.95" customHeight="1" x14ac:dyDescent="0.3">
      <c r="A189" s="3" t="s">
        <v>473</v>
      </c>
      <c r="B189" s="2" t="s">
        <v>474</v>
      </c>
      <c r="C189" s="2"/>
      <c r="D189" s="2" t="s">
        <v>15</v>
      </c>
      <c r="E189" s="4" t="str">
        <f>IF(ISERROR("OD_MONTH"),"",HYPERLINK("#INDEX('Value Lookup'!A:A,MATCH(A" &amp; ROW() &amp; ",'Value Lookup'!A:A,0))","Value Lookup"))</f>
        <v>Value Lookup</v>
      </c>
      <c r="F189" s="4" t="str">
        <f>IF(ISERROR("OD_MONTH"),"",HYPERLINK("#INDEX('Frequencies'!A:A,MATCH(A" &amp; ROW() &amp; ",'Frequencies'!A:A,0))","Frequencies"))</f>
        <v>Frequencies</v>
      </c>
      <c r="G189" s="2"/>
      <c r="H189" s="2"/>
      <c r="I189" s="2">
        <v>17</v>
      </c>
      <c r="J189" s="2"/>
      <c r="K189" s="2"/>
      <c r="L189" s="2"/>
    </row>
    <row r="190" spans="1:12" ht="49.95" customHeight="1" x14ac:dyDescent="0.3">
      <c r="A190" s="3" t="s">
        <v>475</v>
      </c>
      <c r="B190" s="2" t="s">
        <v>476</v>
      </c>
      <c r="C190" s="2" t="s">
        <v>477</v>
      </c>
      <c r="D190" s="2" t="s">
        <v>45</v>
      </c>
      <c r="E190" s="2" t="str">
        <f>IF(ISERROR("OD_READ"),"","Range: 0 - 999999")</f>
        <v>Range: 0 - 999999</v>
      </c>
      <c r="F190" s="4" t="str">
        <f>IF(ISERROR("OD_READ"),"",HYPERLINK("#INDEX('Frequencies'!A:A,MATCH(A" &amp; ROW() &amp; ",'Frequencies'!A:A,0))","Frequencies"))</f>
        <v>Frequencies</v>
      </c>
      <c r="G190" s="2"/>
      <c r="H190" s="2"/>
      <c r="I190" s="2">
        <v>14</v>
      </c>
      <c r="J190" s="2"/>
      <c r="K190" s="2"/>
      <c r="L190" s="2"/>
    </row>
    <row r="191" spans="1:12" ht="49.95" customHeight="1" x14ac:dyDescent="0.3">
      <c r="A191" s="3" t="s">
        <v>478</v>
      </c>
      <c r="B191" s="2" t="s">
        <v>479</v>
      </c>
      <c r="C191" s="2"/>
      <c r="D191" s="2" t="s">
        <v>45</v>
      </c>
      <c r="E191" s="4" t="str">
        <f>IF(ISERROR("OD_YEAR"),"",HYPERLINK("#INDEX('Value Lookup'!A:A,MATCH(A" &amp; ROW() &amp; ",'Value Lookup'!A:A,0))","Value Lookup"))</f>
        <v>Value Lookup</v>
      </c>
      <c r="F191" s="4" t="str">
        <f>IF(ISERROR("OD_YEAR"),"",HYPERLINK("#INDEX('Frequencies'!A:A,MATCH(A" &amp; ROW() &amp; ",'Frequencies'!A:A,0))","Frequencies"))</f>
        <v>Frequencies</v>
      </c>
      <c r="G191" s="2"/>
      <c r="H191" s="2"/>
      <c r="I191" s="2">
        <v>16</v>
      </c>
      <c r="J191" s="2"/>
      <c r="K191" s="2"/>
      <c r="L191" s="2"/>
    </row>
    <row r="192" spans="1:12" ht="49.95" customHeight="1" x14ac:dyDescent="0.3">
      <c r="A192" s="3" t="s">
        <v>480</v>
      </c>
      <c r="B192" s="2" t="s">
        <v>481</v>
      </c>
      <c r="C192" s="2"/>
      <c r="D192" s="2" t="s">
        <v>15</v>
      </c>
      <c r="E192" s="2" t="str">
        <f>IF(ISERROR("O_LOCNO"),"","NA")</f>
        <v>NA</v>
      </c>
      <c r="F192" s="4" t="str">
        <f>IF(ISERROR("O_LOCNO"),"",HYPERLINK("#INDEX('Frequencies'!A:A,MATCH(A" &amp; ROW() &amp; ",'Frequencies'!A:A,0))","Frequencies"))</f>
        <v>Frequencies</v>
      </c>
      <c r="G192" s="2"/>
      <c r="H192" s="2"/>
      <c r="I192" s="2"/>
      <c r="J192" s="2">
        <v>4</v>
      </c>
      <c r="K192" s="2"/>
      <c r="L192" s="2"/>
    </row>
    <row r="193" spans="1:12" ht="49.95" customHeight="1" x14ac:dyDescent="0.3">
      <c r="A193" s="3" t="s">
        <v>482</v>
      </c>
      <c r="B193" s="2" t="s">
        <v>483</v>
      </c>
      <c r="C193" s="2"/>
      <c r="D193" s="2" t="s">
        <v>15</v>
      </c>
      <c r="E193" s="4" t="str">
        <f>IF(ISERROR("ONTD_P1"),"",HYPERLINK("#INDEX('Value Lookup'!A:A,MATCH(A" &amp; ROW() &amp; ",'Value Lookup'!A:A,0))","Value Lookup"))</f>
        <v>Value Lookup</v>
      </c>
      <c r="F193" s="4" t="str">
        <f>IF(ISERROR("ONTD_P1"),"",HYPERLINK("#INDEX('Frequencies'!A:A,MATCH(A" &amp; ROW() &amp; ",'Frequencies'!A:A,0))","Frequencies"))</f>
        <v>Frequencies</v>
      </c>
      <c r="G193" s="2"/>
      <c r="H193" s="2"/>
      <c r="I193" s="2"/>
      <c r="J193" s="2">
        <v>103</v>
      </c>
      <c r="K193" s="2"/>
      <c r="L193" s="2"/>
    </row>
    <row r="194" spans="1:12" ht="49.95" customHeight="1" x14ac:dyDescent="0.3">
      <c r="A194" s="3" t="s">
        <v>484</v>
      </c>
      <c r="B194" s="2" t="s">
        <v>485</v>
      </c>
      <c r="C194" s="2"/>
      <c r="D194" s="2" t="s">
        <v>15</v>
      </c>
      <c r="E194" s="4" t="str">
        <f>IF(ISERROR("ONTD_P10"),"",HYPERLINK("#INDEX('Value Lookup'!A:A,MATCH(A" &amp; ROW() &amp; ",'Value Lookup'!A:A,0))","Value Lookup"))</f>
        <v>Value Lookup</v>
      </c>
      <c r="F194" s="4" t="str">
        <f>IF(ISERROR("ONTD_P10"),"",HYPERLINK("#INDEX('Frequencies'!A:A,MATCH(A" &amp; ROW() &amp; ",'Frequencies'!A:A,0))","Frequencies"))</f>
        <v>Frequencies</v>
      </c>
      <c r="G194" s="2"/>
      <c r="H194" s="2"/>
      <c r="I194" s="2"/>
      <c r="J194" s="2">
        <v>112</v>
      </c>
      <c r="K194" s="2"/>
      <c r="L194" s="2"/>
    </row>
    <row r="195" spans="1:12" ht="49.95" customHeight="1" x14ac:dyDescent="0.3">
      <c r="A195" s="3" t="s">
        <v>486</v>
      </c>
      <c r="B195" s="2" t="s">
        <v>487</v>
      </c>
      <c r="C195" s="2"/>
      <c r="D195" s="2" t="s">
        <v>15</v>
      </c>
      <c r="E195" s="4" t="str">
        <f>IF(ISERROR("ONTD_P11"),"",HYPERLINK("#INDEX('Value Lookup'!A:A,MATCH(A" &amp; ROW() &amp; ",'Value Lookup'!A:A,0))","Value Lookup"))</f>
        <v>Value Lookup</v>
      </c>
      <c r="F195" s="4" t="str">
        <f>IF(ISERROR("ONTD_P11"),"",HYPERLINK("#INDEX('Frequencies'!A:A,MATCH(A" &amp; ROW() &amp; ",'Frequencies'!A:A,0))","Frequencies"))</f>
        <v>Frequencies</v>
      </c>
      <c r="G195" s="2"/>
      <c r="H195" s="2"/>
      <c r="I195" s="2"/>
      <c r="J195" s="2">
        <v>113</v>
      </c>
      <c r="K195" s="2"/>
      <c r="L195" s="2"/>
    </row>
    <row r="196" spans="1:12" ht="49.95" customHeight="1" x14ac:dyDescent="0.3">
      <c r="A196" s="3" t="s">
        <v>488</v>
      </c>
      <c r="B196" s="2" t="s">
        <v>489</v>
      </c>
      <c r="C196" s="2"/>
      <c r="D196" s="2" t="s">
        <v>15</v>
      </c>
      <c r="E196" s="4" t="str">
        <f>IF(ISERROR("ONTD_P12"),"",HYPERLINK("#INDEX('Value Lookup'!A:A,MATCH(A" &amp; ROW() &amp; ",'Value Lookup'!A:A,0))","Value Lookup"))</f>
        <v>Value Lookup</v>
      </c>
      <c r="F196" s="4" t="str">
        <f>IF(ISERROR("ONTD_P12"),"",HYPERLINK("#INDEX('Frequencies'!A:A,MATCH(A" &amp; ROW() &amp; ",'Frequencies'!A:A,0))","Frequencies"))</f>
        <v>Frequencies</v>
      </c>
      <c r="G196" s="2"/>
      <c r="H196" s="2"/>
      <c r="I196" s="2"/>
      <c r="J196" s="2">
        <v>114</v>
      </c>
      <c r="K196" s="2"/>
      <c r="L196" s="2"/>
    </row>
    <row r="197" spans="1:12" ht="49.95" customHeight="1" x14ac:dyDescent="0.3">
      <c r="A197" s="3" t="s">
        <v>490</v>
      </c>
      <c r="B197" s="2" t="s">
        <v>491</v>
      </c>
      <c r="C197" s="2"/>
      <c r="D197" s="2" t="s">
        <v>15</v>
      </c>
      <c r="E197" s="4" t="str">
        <f>IF(ISERROR("ONTD_P13"),"",HYPERLINK("#INDEX('Value Lookup'!A:A,MATCH(A" &amp; ROW() &amp; ",'Value Lookup'!A:A,0))","Value Lookup"))</f>
        <v>Value Lookup</v>
      </c>
      <c r="F197" s="4" t="str">
        <f>IF(ISERROR("ONTD_P13"),"",HYPERLINK("#INDEX('Frequencies'!A:A,MATCH(A" &amp; ROW() &amp; ",'Frequencies'!A:A,0))","Frequencies"))</f>
        <v>Frequencies</v>
      </c>
      <c r="G197" s="2"/>
      <c r="H197" s="2"/>
      <c r="I197" s="2"/>
      <c r="J197" s="2">
        <v>115</v>
      </c>
      <c r="K197" s="2"/>
      <c r="L197" s="2"/>
    </row>
    <row r="198" spans="1:12" ht="49.95" customHeight="1" x14ac:dyDescent="0.3">
      <c r="A198" s="3" t="s">
        <v>492</v>
      </c>
      <c r="B198" s="2" t="s">
        <v>493</v>
      </c>
      <c r="C198" s="2"/>
      <c r="D198" s="2" t="s">
        <v>15</v>
      </c>
      <c r="E198" s="4" t="str">
        <f>IF(ISERROR("ONTD_P14"),"",HYPERLINK("#INDEX('Value Lookup'!A:A,MATCH(A" &amp; ROW() &amp; ",'Value Lookup'!A:A,0))","Value Lookup"))</f>
        <v>Value Lookup</v>
      </c>
      <c r="F198" s="4" t="str">
        <f>IF(ISERROR("ONTD_P14"),"",HYPERLINK("#INDEX('Frequencies'!A:A,MATCH(A" &amp; ROW() &amp; ",'Frequencies'!A:A,0))","Frequencies"))</f>
        <v>Frequencies</v>
      </c>
      <c r="G198" s="2"/>
      <c r="H198" s="2"/>
      <c r="I198" s="2"/>
      <c r="J198" s="2">
        <v>116</v>
      </c>
      <c r="K198" s="2"/>
      <c r="L198" s="2"/>
    </row>
    <row r="199" spans="1:12" ht="49.95" customHeight="1" x14ac:dyDescent="0.3">
      <c r="A199" s="3" t="s">
        <v>494</v>
      </c>
      <c r="B199" s="2" t="s">
        <v>495</v>
      </c>
      <c r="C199" s="2"/>
      <c r="D199" s="2" t="s">
        <v>15</v>
      </c>
      <c r="E199" s="4" t="str">
        <f>IF(ISERROR("ONTD_P15"),"",HYPERLINK("#INDEX('Value Lookup'!A:A,MATCH(A" &amp; ROW() &amp; ",'Value Lookup'!A:A,0))","Value Lookup"))</f>
        <v>Value Lookup</v>
      </c>
      <c r="F199" s="4" t="str">
        <f>IF(ISERROR("ONTD_P15"),"",HYPERLINK("#INDEX('Frequencies'!A:A,MATCH(A" &amp; ROW() &amp; ",'Frequencies'!A:A,0))","Frequencies"))</f>
        <v>Frequencies</v>
      </c>
      <c r="G199" s="2"/>
      <c r="H199" s="2"/>
      <c r="I199" s="2"/>
      <c r="J199" s="2">
        <v>117</v>
      </c>
      <c r="K199" s="2"/>
      <c r="L199" s="2"/>
    </row>
    <row r="200" spans="1:12" ht="49.95" customHeight="1" x14ac:dyDescent="0.3">
      <c r="A200" s="3" t="s">
        <v>496</v>
      </c>
      <c r="B200" s="2" t="s">
        <v>497</v>
      </c>
      <c r="C200" s="2"/>
      <c r="D200" s="2" t="s">
        <v>15</v>
      </c>
      <c r="E200" s="4" t="str">
        <f>IF(ISERROR("ONTD_P2"),"",HYPERLINK("#INDEX('Value Lookup'!A:A,MATCH(A" &amp; ROW() &amp; ",'Value Lookup'!A:A,0))","Value Lookup"))</f>
        <v>Value Lookup</v>
      </c>
      <c r="F200" s="4" t="str">
        <f>IF(ISERROR("ONTD_P2"),"",HYPERLINK("#INDEX('Frequencies'!A:A,MATCH(A" &amp; ROW() &amp; ",'Frequencies'!A:A,0))","Frequencies"))</f>
        <v>Frequencies</v>
      </c>
      <c r="G200" s="2"/>
      <c r="H200" s="2"/>
      <c r="I200" s="2"/>
      <c r="J200" s="2">
        <v>104</v>
      </c>
      <c r="K200" s="2"/>
      <c r="L200" s="2"/>
    </row>
    <row r="201" spans="1:12" ht="49.95" customHeight="1" x14ac:dyDescent="0.3">
      <c r="A201" s="3" t="s">
        <v>498</v>
      </c>
      <c r="B201" s="2" t="s">
        <v>499</v>
      </c>
      <c r="C201" s="2"/>
      <c r="D201" s="2" t="s">
        <v>15</v>
      </c>
      <c r="E201" s="4" t="str">
        <f>IF(ISERROR("ONTD_P3"),"",HYPERLINK("#INDEX('Value Lookup'!A:A,MATCH(A" &amp; ROW() &amp; ",'Value Lookup'!A:A,0))","Value Lookup"))</f>
        <v>Value Lookup</v>
      </c>
      <c r="F201" s="4" t="str">
        <f>IF(ISERROR("ONTD_P3"),"",HYPERLINK("#INDEX('Frequencies'!A:A,MATCH(A" &amp; ROW() &amp; ",'Frequencies'!A:A,0))","Frequencies"))</f>
        <v>Frequencies</v>
      </c>
      <c r="G201" s="2"/>
      <c r="H201" s="2"/>
      <c r="I201" s="2"/>
      <c r="J201" s="2">
        <v>105</v>
      </c>
      <c r="K201" s="2"/>
      <c r="L201" s="2"/>
    </row>
    <row r="202" spans="1:12" ht="49.95" customHeight="1" x14ac:dyDescent="0.3">
      <c r="A202" s="3" t="s">
        <v>500</v>
      </c>
      <c r="B202" s="2" t="s">
        <v>501</v>
      </c>
      <c r="C202" s="2"/>
      <c r="D202" s="2" t="s">
        <v>15</v>
      </c>
      <c r="E202" s="4" t="str">
        <f>IF(ISERROR("ONTD_P4"),"",HYPERLINK("#INDEX('Value Lookup'!A:A,MATCH(A" &amp; ROW() &amp; ",'Value Lookup'!A:A,0))","Value Lookup"))</f>
        <v>Value Lookup</v>
      </c>
      <c r="F202" s="4" t="str">
        <f>IF(ISERROR("ONTD_P4"),"",HYPERLINK("#INDEX('Frequencies'!A:A,MATCH(A" &amp; ROW() &amp; ",'Frequencies'!A:A,0))","Frequencies"))</f>
        <v>Frequencies</v>
      </c>
      <c r="G202" s="2"/>
      <c r="H202" s="2"/>
      <c r="I202" s="2"/>
      <c r="J202" s="2">
        <v>106</v>
      </c>
      <c r="K202" s="2"/>
      <c r="L202" s="2"/>
    </row>
    <row r="203" spans="1:12" ht="49.95" customHeight="1" x14ac:dyDescent="0.3">
      <c r="A203" s="3" t="s">
        <v>502</v>
      </c>
      <c r="B203" s="2" t="s">
        <v>503</v>
      </c>
      <c r="C203" s="2"/>
      <c r="D203" s="2" t="s">
        <v>15</v>
      </c>
      <c r="E203" s="4" t="str">
        <f>IF(ISERROR("ONTD_P5"),"",HYPERLINK("#INDEX('Value Lookup'!A:A,MATCH(A" &amp; ROW() &amp; ",'Value Lookup'!A:A,0))","Value Lookup"))</f>
        <v>Value Lookup</v>
      </c>
      <c r="F203" s="4" t="str">
        <f>IF(ISERROR("ONTD_P5"),"",HYPERLINK("#INDEX('Frequencies'!A:A,MATCH(A" &amp; ROW() &amp; ",'Frequencies'!A:A,0))","Frequencies"))</f>
        <v>Frequencies</v>
      </c>
      <c r="G203" s="2"/>
      <c r="H203" s="2"/>
      <c r="I203" s="2"/>
      <c r="J203" s="2">
        <v>107</v>
      </c>
      <c r="K203" s="2"/>
      <c r="L203" s="2"/>
    </row>
    <row r="204" spans="1:12" ht="49.95" customHeight="1" x14ac:dyDescent="0.3">
      <c r="A204" s="3" t="s">
        <v>504</v>
      </c>
      <c r="B204" s="2" t="s">
        <v>505</v>
      </c>
      <c r="C204" s="2"/>
      <c r="D204" s="2" t="s">
        <v>15</v>
      </c>
      <c r="E204" s="4" t="str">
        <f>IF(ISERROR("ONTD_P6"),"",HYPERLINK("#INDEX('Value Lookup'!A:A,MATCH(A" &amp; ROW() &amp; ",'Value Lookup'!A:A,0))","Value Lookup"))</f>
        <v>Value Lookup</v>
      </c>
      <c r="F204" s="4" t="str">
        <f>IF(ISERROR("ONTD_P6"),"",HYPERLINK("#INDEX('Frequencies'!A:A,MATCH(A" &amp; ROW() &amp; ",'Frequencies'!A:A,0))","Frequencies"))</f>
        <v>Frequencies</v>
      </c>
      <c r="G204" s="2"/>
      <c r="H204" s="2"/>
      <c r="I204" s="2"/>
      <c r="J204" s="2">
        <v>108</v>
      </c>
      <c r="K204" s="2"/>
      <c r="L204" s="2"/>
    </row>
    <row r="205" spans="1:12" ht="49.95" customHeight="1" x14ac:dyDescent="0.3">
      <c r="A205" s="3" t="s">
        <v>506</v>
      </c>
      <c r="B205" s="2" t="s">
        <v>507</v>
      </c>
      <c r="C205" s="2"/>
      <c r="D205" s="2" t="s">
        <v>15</v>
      </c>
      <c r="E205" s="4" t="str">
        <f>IF(ISERROR("ONTD_P7"),"",HYPERLINK("#INDEX('Value Lookup'!A:A,MATCH(A" &amp; ROW() &amp; ",'Value Lookup'!A:A,0))","Value Lookup"))</f>
        <v>Value Lookup</v>
      </c>
      <c r="F205" s="4" t="str">
        <f>IF(ISERROR("ONTD_P7"),"",HYPERLINK("#INDEX('Frequencies'!A:A,MATCH(A" &amp; ROW() &amp; ",'Frequencies'!A:A,0))","Frequencies"))</f>
        <v>Frequencies</v>
      </c>
      <c r="G205" s="2"/>
      <c r="H205" s="2"/>
      <c r="I205" s="2"/>
      <c r="J205" s="2">
        <v>109</v>
      </c>
      <c r="K205" s="2"/>
      <c r="L205" s="2"/>
    </row>
    <row r="206" spans="1:12" ht="49.95" customHeight="1" x14ac:dyDescent="0.3">
      <c r="A206" s="3" t="s">
        <v>508</v>
      </c>
      <c r="B206" s="2" t="s">
        <v>509</v>
      </c>
      <c r="C206" s="2"/>
      <c r="D206" s="2" t="s">
        <v>15</v>
      </c>
      <c r="E206" s="4" t="str">
        <f>IF(ISERROR("ONTD_P8"),"",HYPERLINK("#INDEX('Value Lookup'!A:A,MATCH(A" &amp; ROW() &amp; ",'Value Lookup'!A:A,0))","Value Lookup"))</f>
        <v>Value Lookup</v>
      </c>
      <c r="F206" s="4" t="str">
        <f>IF(ISERROR("ONTD_P8"),"",HYPERLINK("#INDEX('Frequencies'!A:A,MATCH(A" &amp; ROW() &amp; ",'Frequencies'!A:A,0))","Frequencies"))</f>
        <v>Frequencies</v>
      </c>
      <c r="G206" s="2"/>
      <c r="H206" s="2"/>
      <c r="I206" s="2"/>
      <c r="J206" s="2">
        <v>110</v>
      </c>
      <c r="K206" s="2"/>
      <c r="L206" s="2"/>
    </row>
    <row r="207" spans="1:12" ht="49.95" customHeight="1" x14ac:dyDescent="0.3">
      <c r="A207" s="3" t="s">
        <v>510</v>
      </c>
      <c r="B207" s="2" t="s">
        <v>511</v>
      </c>
      <c r="C207" s="2"/>
      <c r="D207" s="2" t="s">
        <v>15</v>
      </c>
      <c r="E207" s="4" t="str">
        <f>IF(ISERROR("ONTD_P9"),"",HYPERLINK("#INDEX('Value Lookup'!A:A,MATCH(A" &amp; ROW() &amp; ",'Value Lookup'!A:A,0))","Value Lookup"))</f>
        <v>Value Lookup</v>
      </c>
      <c r="F207" s="4" t="str">
        <f>IF(ISERROR("ONTD_P9"),"",HYPERLINK("#INDEX('Frequencies'!A:A,MATCH(A" &amp; ROW() &amp; ",'Frequencies'!A:A,0))","Frequencies"))</f>
        <v>Frequencies</v>
      </c>
      <c r="G207" s="2"/>
      <c r="H207" s="2"/>
      <c r="I207" s="2"/>
      <c r="J207" s="2">
        <v>111</v>
      </c>
      <c r="K207" s="2"/>
      <c r="L207" s="2"/>
    </row>
    <row r="208" spans="1:12" ht="49.95" customHeight="1" x14ac:dyDescent="0.3">
      <c r="A208" s="3" t="s">
        <v>512</v>
      </c>
      <c r="B208" s="2" t="s">
        <v>513</v>
      </c>
      <c r="C208" s="2"/>
      <c r="D208" s="2" t="s">
        <v>15</v>
      </c>
      <c r="E208" s="4" t="str">
        <f>IF(ISERROR("OUTCNTRY"),"",HYPERLINK("#INDEX('Value Lookup'!A:A,MATCH(A" &amp; ROW() &amp; ",'Value Lookup'!A:A,0))","Value Lookup"))</f>
        <v>Value Lookup</v>
      </c>
      <c r="F208" s="4" t="str">
        <f>IF(ISERROR("OUTCNTRY"),"",HYPERLINK("#INDEX('Frequencies'!A:A,MATCH(A" &amp; ROW() &amp; ",'Frequencies'!A:A,0))","Frequencies"))</f>
        <v>Frequencies</v>
      </c>
      <c r="G208" s="2"/>
      <c r="H208" s="2">
        <v>134</v>
      </c>
      <c r="I208" s="2"/>
      <c r="J208" s="2"/>
      <c r="K208" s="2"/>
      <c r="L208" s="2"/>
    </row>
    <row r="209" spans="1:12" ht="49.95" customHeight="1" x14ac:dyDescent="0.3">
      <c r="A209" s="3" t="s">
        <v>514</v>
      </c>
      <c r="B209" s="2" t="s">
        <v>515</v>
      </c>
      <c r="C209" s="2"/>
      <c r="D209" s="2" t="s">
        <v>15</v>
      </c>
      <c r="E209" s="4" t="str">
        <f>IF(ISERROR("OUTOFTWN"),"",HYPERLINK("#INDEX('Value Lookup'!A:A,MATCH(A" &amp; ROW() &amp; ",'Value Lookup'!A:A,0))","Value Lookup"))</f>
        <v>Value Lookup</v>
      </c>
      <c r="F209" s="4" t="str">
        <f>IF(ISERROR("OUTOFTWN"),"",HYPERLINK("#INDEX('Frequencies'!A:A,MATCH(A" &amp; ROW() &amp; ",'Frequencies'!A:A,0))","Frequencies"))</f>
        <v>Frequencies</v>
      </c>
      <c r="G209" s="2"/>
      <c r="H209" s="2">
        <v>144</v>
      </c>
      <c r="I209" s="2"/>
      <c r="J209" s="2"/>
      <c r="K209" s="2"/>
      <c r="L209" s="2"/>
    </row>
    <row r="210" spans="1:12" ht="49.95" customHeight="1" x14ac:dyDescent="0.3">
      <c r="A210" s="3" t="s">
        <v>516</v>
      </c>
      <c r="B210" s="2" t="s">
        <v>517</v>
      </c>
      <c r="C210" s="2" t="s">
        <v>518</v>
      </c>
      <c r="D210" s="2" t="s">
        <v>15</v>
      </c>
      <c r="E210" s="4" t="str">
        <f>IF(ISERROR("PARA"),"",HYPERLINK("#INDEX('Value Lookup'!A:A,MATCH(A" &amp; ROW() &amp; ",'Value Lookup'!A:A,0))","Value Lookup"))</f>
        <v>Value Lookup</v>
      </c>
      <c r="F210" s="4" t="str">
        <f>IF(ISERROR("PARA"),"",HYPERLINK("#INDEX('Frequencies'!A:A,MATCH(A" &amp; ROW() &amp; ",'Frequencies'!A:A,0))","Frequencies"))</f>
        <v>Frequencies</v>
      </c>
      <c r="G210" s="2">
        <v>28</v>
      </c>
      <c r="H210" s="2"/>
      <c r="I210" s="2"/>
      <c r="J210" s="2"/>
      <c r="K210" s="2"/>
      <c r="L210" s="2"/>
    </row>
    <row r="211" spans="1:12" ht="49.95" customHeight="1" x14ac:dyDescent="0.3">
      <c r="A211" s="3" t="s">
        <v>519</v>
      </c>
      <c r="B211" s="2" t="s">
        <v>520</v>
      </c>
      <c r="C211" s="2" t="s">
        <v>521</v>
      </c>
      <c r="D211" s="2" t="s">
        <v>15</v>
      </c>
      <c r="E211" s="4" t="str">
        <f>IF(ISERROR("PAYPROF"),"",HYPERLINK("#INDEX('Value Lookup'!A:A,MATCH(A" &amp; ROW() &amp; ",'Value Lookup'!A:A,0))","Value Lookup"))</f>
        <v>Value Lookup</v>
      </c>
      <c r="F211" s="4" t="str">
        <f>IF(ISERROR("PAYPROF"),"",HYPERLINK("#INDEX('Frequencies'!A:A,MATCH(A" &amp; ROW() &amp; ",'Frequencies'!A:A,0))","Frequencies"))</f>
        <v>Frequencies</v>
      </c>
      <c r="G211" s="2"/>
      <c r="H211" s="2">
        <v>13</v>
      </c>
      <c r="I211" s="2"/>
      <c r="J211" s="2"/>
      <c r="K211" s="2"/>
      <c r="L211" s="2"/>
    </row>
    <row r="212" spans="1:12" ht="49.95" customHeight="1" x14ac:dyDescent="0.3">
      <c r="A212" s="3" t="s">
        <v>522</v>
      </c>
      <c r="B212" s="2" t="s">
        <v>523</v>
      </c>
      <c r="C212" s="2" t="s">
        <v>524</v>
      </c>
      <c r="D212" s="2" t="s">
        <v>15</v>
      </c>
      <c r="E212" s="4" t="str">
        <f>IF(ISERROR("PC"),"",HYPERLINK("#INDEX('Value Lookup'!A:A,MATCH(A" &amp; ROW() &amp; ",'Value Lookup'!A:A,0))","Value Lookup"))</f>
        <v>Value Lookup</v>
      </c>
      <c r="F212" s="4" t="str">
        <f>IF(ISERROR("PC"),"",HYPERLINK("#INDEX('Frequencies'!A:A,MATCH(A" &amp; ROW() &amp; ",'Frequencies'!A:A,0))","Frequencies"))</f>
        <v>Frequencies</v>
      </c>
      <c r="G212" s="2">
        <v>17</v>
      </c>
      <c r="H212" s="2"/>
      <c r="I212" s="2"/>
      <c r="J212" s="2"/>
      <c r="K212" s="2"/>
      <c r="L212" s="2"/>
    </row>
    <row r="213" spans="1:12" ht="49.95" customHeight="1" x14ac:dyDescent="0.3">
      <c r="A213" s="3" t="s">
        <v>525</v>
      </c>
      <c r="B213" s="2" t="s">
        <v>526</v>
      </c>
      <c r="C213" s="2"/>
      <c r="D213" s="2" t="s">
        <v>15</v>
      </c>
      <c r="E213" s="2" t="str">
        <f>IF(ISERROR("PERINDT2"),"","NA")</f>
        <v>NA</v>
      </c>
      <c r="F213" s="4" t="str">
        <f>IF(ISERROR("PERINDT2"),"",HYPERLINK("#INDEX('Frequencies'!A:A,MATCH(A" &amp; ROW() &amp; ",'Frequencies'!A:A,0))","Frequencies"))</f>
        <v>Frequencies</v>
      </c>
      <c r="G213" s="2"/>
      <c r="H213" s="2">
        <v>3</v>
      </c>
      <c r="I213" s="2"/>
      <c r="J213" s="2"/>
      <c r="K213" s="2"/>
      <c r="L213" s="2"/>
    </row>
    <row r="214" spans="1:12" ht="49.95" customHeight="1" x14ac:dyDescent="0.3">
      <c r="A214" s="3" t="s">
        <v>527</v>
      </c>
      <c r="B214" s="2" t="s">
        <v>528</v>
      </c>
      <c r="C214" s="2"/>
      <c r="D214" s="2" t="s">
        <v>15</v>
      </c>
      <c r="E214" s="2" t="str">
        <f>IF(ISERROR("PERSONID"),"","NA")</f>
        <v>NA</v>
      </c>
      <c r="F214" s="4" t="str">
        <f>IF(ISERROR("PERSONID"),"",HYPERLINK("#INDEX('Frequencies'!A:A,MATCH(A" &amp; ROW() &amp; ",'Frequencies'!A:A,0))","Frequencies"))</f>
        <v>Frequencies</v>
      </c>
      <c r="G214" s="2"/>
      <c r="H214" s="2">
        <v>2</v>
      </c>
      <c r="I214" s="2"/>
      <c r="J214" s="2">
        <v>2</v>
      </c>
      <c r="K214" s="2">
        <v>3</v>
      </c>
      <c r="L214" s="2"/>
    </row>
    <row r="215" spans="1:12" ht="49.95" customHeight="1" x14ac:dyDescent="0.3">
      <c r="A215" s="3" t="s">
        <v>529</v>
      </c>
      <c r="B215" s="2" t="s">
        <v>530</v>
      </c>
      <c r="C215" s="2" t="s">
        <v>531</v>
      </c>
      <c r="D215" s="2" t="s">
        <v>15</v>
      </c>
      <c r="E215" s="4" t="str">
        <f>IF(ISERROR("PHYACT"),"",HYPERLINK("#INDEX('Value Lookup'!A:A,MATCH(A" &amp; ROW() &amp; ",'Value Lookup'!A:A,0))","Value Lookup"))</f>
        <v>Value Lookup</v>
      </c>
      <c r="F215" s="4" t="str">
        <f>IF(ISERROR("PHYACT"),"",HYPERLINK("#INDEX('Frequencies'!A:A,MATCH(A" &amp; ROW() &amp; ",'Frequencies'!A:A,0))","Frequencies"))</f>
        <v>Frequencies</v>
      </c>
      <c r="G215" s="2"/>
      <c r="H215" s="2">
        <v>71</v>
      </c>
      <c r="I215" s="2"/>
      <c r="J215" s="2"/>
      <c r="K215" s="2"/>
      <c r="L215" s="2"/>
    </row>
    <row r="216" spans="1:12" ht="49.95" customHeight="1" x14ac:dyDescent="0.3">
      <c r="A216" s="3" t="s">
        <v>532</v>
      </c>
      <c r="B216" s="2" t="s">
        <v>533</v>
      </c>
      <c r="C216" s="2" t="s">
        <v>534</v>
      </c>
      <c r="D216" s="2" t="s">
        <v>15</v>
      </c>
      <c r="E216" s="4" t="str">
        <f>IF(ISERROR("PLACE"),"",HYPERLINK("#INDEX('Value Lookup'!A:A,MATCH(A" &amp; ROW() &amp; ",'Value Lookup'!A:A,0))","Value Lookup"))</f>
        <v>Value Lookup</v>
      </c>
      <c r="F216" s="4" t="str">
        <f>IF(ISERROR("PLACE"),"",HYPERLINK("#INDEX('Frequencies'!A:A,MATCH(A" &amp; ROW() &amp; ",'Frequencies'!A:A,0))","Frequencies"))</f>
        <v>Frequencies</v>
      </c>
      <c r="G216" s="2">
        <v>30</v>
      </c>
      <c r="H216" s="2"/>
      <c r="I216" s="2"/>
      <c r="J216" s="2"/>
      <c r="K216" s="2"/>
      <c r="L216" s="2"/>
    </row>
    <row r="217" spans="1:12" ht="49.95" customHeight="1" x14ac:dyDescent="0.3">
      <c r="A217" s="3" t="s">
        <v>535</v>
      </c>
      <c r="B217" s="2" t="s">
        <v>536</v>
      </c>
      <c r="C217" s="2" t="s">
        <v>537</v>
      </c>
      <c r="D217" s="2" t="s">
        <v>15</v>
      </c>
      <c r="E217" s="4" t="str">
        <f>IF(ISERROR("PRICE"),"",HYPERLINK("#INDEX('Value Lookup'!A:A,MATCH(A" &amp; ROW() &amp; ",'Value Lookup'!A:A,0))","Value Lookup"))</f>
        <v>Value Lookup</v>
      </c>
      <c r="F217" s="4" t="str">
        <f>IF(ISERROR("PRICE"),"",HYPERLINK("#INDEX('Frequencies'!A:A,MATCH(A" &amp; ROW() &amp; ",'Frequencies'!A:A,0))","Frequencies"))</f>
        <v>Frequencies</v>
      </c>
      <c r="G217" s="2">
        <v>29</v>
      </c>
      <c r="H217" s="2"/>
      <c r="I217" s="2"/>
      <c r="J217" s="2"/>
      <c r="K217" s="2"/>
      <c r="L217" s="2"/>
    </row>
    <row r="218" spans="1:12" ht="49.95" customHeight="1" x14ac:dyDescent="0.3">
      <c r="A218" s="3" t="s">
        <v>538</v>
      </c>
      <c r="B218" s="2" t="s">
        <v>539</v>
      </c>
      <c r="C218" s="2" t="s">
        <v>540</v>
      </c>
      <c r="D218" s="2" t="s">
        <v>15</v>
      </c>
      <c r="E218" s="4" t="str">
        <f>IF(ISERROR("PRMACT"),"",HYPERLINK("#INDEX('Value Lookup'!A:A,MATCH(A" &amp; ROW() &amp; ",'Value Lookup'!A:A,0))","Value Lookup"))</f>
        <v>Value Lookup</v>
      </c>
      <c r="F218" s="4" t="str">
        <f>IF(ISERROR("PRMACT"),"",HYPERLINK("#INDEX('Frequencies'!A:A,MATCH(A" &amp; ROW() &amp; ",'Frequencies'!A:A,0))","Frequencies"))</f>
        <v>Frequencies</v>
      </c>
      <c r="G218" s="2"/>
      <c r="H218" s="2">
        <v>12</v>
      </c>
      <c r="I218" s="2"/>
      <c r="J218" s="2"/>
      <c r="K218" s="2"/>
      <c r="L218" s="2"/>
    </row>
    <row r="219" spans="1:12" ht="49.95" customHeight="1" x14ac:dyDescent="0.3">
      <c r="A219" s="3" t="s">
        <v>541</v>
      </c>
      <c r="B219" s="2" t="s">
        <v>542</v>
      </c>
      <c r="C219" s="2"/>
      <c r="D219" s="2" t="s">
        <v>15</v>
      </c>
      <c r="E219" s="4" t="str">
        <f>IF(ISERROR("PROXY"),"",HYPERLINK("#INDEX('Value Lookup'!A:A,MATCH(A" &amp; ROW() &amp; ",'Value Lookup'!A:A,0))","Value Lookup"))</f>
        <v>Value Lookup</v>
      </c>
      <c r="F219" s="4" t="str">
        <f>IF(ISERROR("PROXY"),"",HYPERLINK("#INDEX('Frequencies'!A:A,MATCH(A" &amp; ROW() &amp; ",'Frequencies'!A:A,0))","Frequencies"))</f>
        <v>Frequencies</v>
      </c>
      <c r="G219" s="2"/>
      <c r="H219" s="2">
        <v>80</v>
      </c>
      <c r="I219" s="2"/>
      <c r="J219" s="2"/>
      <c r="K219" s="2"/>
      <c r="L219" s="2"/>
    </row>
    <row r="220" spans="1:12" ht="49.95" customHeight="1" x14ac:dyDescent="0.3">
      <c r="A220" s="3" t="s">
        <v>543</v>
      </c>
      <c r="B220" s="2" t="s">
        <v>544</v>
      </c>
      <c r="C220" s="2"/>
      <c r="D220" s="2" t="s">
        <v>15</v>
      </c>
      <c r="E220" s="4" t="str">
        <f>IF(ISERROR("PSGR_FLG"),"",HYPERLINK("#INDEX('Value Lookup'!A:A,MATCH(A" &amp; ROW() &amp; ",'Value Lookup'!A:A,0))","Value Lookup"))</f>
        <v>Value Lookup</v>
      </c>
      <c r="F220" s="4" t="str">
        <f>IF(ISERROR("PSGR_FLG"),"",HYPERLINK("#INDEX('Frequencies'!A:A,MATCH(A" &amp; ROW() &amp; ",'Frequencies'!A:A,0))","Frequencies"))</f>
        <v>Frequencies</v>
      </c>
      <c r="G220" s="2"/>
      <c r="H220" s="2"/>
      <c r="I220" s="2"/>
      <c r="J220" s="2">
        <v>45</v>
      </c>
      <c r="K220" s="2"/>
      <c r="L220" s="2"/>
    </row>
    <row r="221" spans="1:12" ht="49.95" customHeight="1" x14ac:dyDescent="0.3">
      <c r="A221" s="3" t="s">
        <v>545</v>
      </c>
      <c r="B221" s="2" t="s">
        <v>546</v>
      </c>
      <c r="C221" s="2" t="s">
        <v>547</v>
      </c>
      <c r="D221" s="2" t="s">
        <v>15</v>
      </c>
      <c r="E221" s="4" t="str">
        <f>IF(ISERROR("PTRANS"),"",HYPERLINK("#INDEX('Value Lookup'!A:A,MATCH(A" &amp; ROW() &amp; ",'Value Lookup'!A:A,0))","Value Lookup"))</f>
        <v>Value Lookup</v>
      </c>
      <c r="F221" s="4" t="str">
        <f>IF(ISERROR("PTRANS"),"",HYPERLINK("#INDEX('Frequencies'!A:A,MATCH(A" &amp; ROW() &amp; ",'Frequencies'!A:A,0))","Frequencies"))</f>
        <v>Frequencies</v>
      </c>
      <c r="G221" s="2">
        <v>33</v>
      </c>
      <c r="H221" s="2"/>
      <c r="I221" s="2"/>
      <c r="J221" s="2"/>
      <c r="K221" s="2"/>
      <c r="L221" s="2"/>
    </row>
    <row r="222" spans="1:12" ht="49.95" customHeight="1" x14ac:dyDescent="0.3">
      <c r="A222" s="3" t="s">
        <v>548</v>
      </c>
      <c r="B222" s="2" t="s">
        <v>549</v>
      </c>
      <c r="C222" s="2" t="s">
        <v>550</v>
      </c>
      <c r="D222" s="2" t="s">
        <v>45</v>
      </c>
      <c r="E222" s="2" t="str">
        <f>IF(ISERROR("PTUSED"),"","Range: 0 - 240")</f>
        <v>Range: 0 - 240</v>
      </c>
      <c r="F222" s="4" t="str">
        <f>IF(ISERROR("PTUSED"),"",HYPERLINK("#INDEX('Frequencies'!A:A,MATCH(A" &amp; ROW() &amp; ",'Frequencies'!A:A,0))","Frequencies"))</f>
        <v>Frequencies</v>
      </c>
      <c r="G222" s="2"/>
      <c r="H222" s="2">
        <v>46</v>
      </c>
      <c r="I222" s="2"/>
      <c r="J222" s="2"/>
      <c r="K222" s="2"/>
      <c r="L222" s="2"/>
    </row>
    <row r="223" spans="1:12" ht="49.95" customHeight="1" x14ac:dyDescent="0.3">
      <c r="A223" s="3" t="s">
        <v>551</v>
      </c>
      <c r="B223" s="2" t="s">
        <v>552</v>
      </c>
      <c r="C223" s="2" t="s">
        <v>553</v>
      </c>
      <c r="D223" s="2" t="s">
        <v>15</v>
      </c>
      <c r="E223" s="4" t="str">
        <f>IF(ISERROR("PUB_REASON"),"",HYPERLINK("#INDEX('Value Lookup'!A:A,MATCH(A" &amp; ROW() &amp; ",'Value Lookup'!A:A,0))","Value Lookup"))</f>
        <v>Value Lookup</v>
      </c>
      <c r="F223" s="4" t="str">
        <f>IF(ISERROR("PUB_REASON"),"",HYPERLINK("#INDEX('Frequencies'!A:A,MATCH(A" &amp; ROW() &amp; ",'Frequencies'!A:A,0))","Frequencies"))</f>
        <v>Frequencies</v>
      </c>
      <c r="G223" s="2"/>
      <c r="H223" s="2"/>
      <c r="I223" s="2"/>
      <c r="J223" s="2">
        <v>39</v>
      </c>
      <c r="K223" s="2"/>
      <c r="L223" s="2" t="s">
        <v>319</v>
      </c>
    </row>
    <row r="224" spans="1:12" ht="49.95" customHeight="1" x14ac:dyDescent="0.3">
      <c r="A224" s="3" t="s">
        <v>554</v>
      </c>
      <c r="B224" s="2" t="s">
        <v>555</v>
      </c>
      <c r="C224" s="2" t="s">
        <v>556</v>
      </c>
      <c r="D224" s="2" t="s">
        <v>45</v>
      </c>
      <c r="E224" s="2" t="str">
        <f>IF(ISERROR("PUBTIME"),"","Range: 0 - 60")</f>
        <v>Range: 0 - 60</v>
      </c>
      <c r="F224" s="4" t="str">
        <f>IF(ISERROR("PUBTIME"),"",HYPERLINK("#INDEX('Frequencies'!A:A,MATCH(A" &amp; ROW() &amp; ",'Frequencies'!A:A,0))","Frequencies"))</f>
        <v>Frequencies</v>
      </c>
      <c r="G224" s="2"/>
      <c r="H224" s="2">
        <v>53</v>
      </c>
      <c r="I224" s="2"/>
      <c r="J224" s="2"/>
      <c r="K224" s="2"/>
      <c r="L224" s="2"/>
    </row>
    <row r="225" spans="1:12" ht="49.95" customHeight="1" x14ac:dyDescent="0.3">
      <c r="A225" s="3" t="s">
        <v>557</v>
      </c>
      <c r="B225" s="2" t="s">
        <v>558</v>
      </c>
      <c r="C225" s="2"/>
      <c r="D225" s="2" t="s">
        <v>15</v>
      </c>
      <c r="E225" s="4" t="str">
        <f>IF(ISERROR("PUBTRANS"),"",HYPERLINK("#INDEX('Value Lookup'!A:A,MATCH(A" &amp; ROW() &amp; ",'Value Lookup'!A:A,0))","Value Lookup"))</f>
        <v>Value Lookup</v>
      </c>
      <c r="F225" s="4" t="str">
        <f>IF(ISERROR("PUBTRANS"),"",HYPERLINK("#INDEX('Frequencies'!A:A,MATCH(A" &amp; ROW() &amp; ",'Frequencies'!A:A,0))","Frequencies"))</f>
        <v>Frequencies</v>
      </c>
      <c r="G225" s="2"/>
      <c r="H225" s="2"/>
      <c r="I225" s="2"/>
      <c r="J225" s="2">
        <v>46</v>
      </c>
      <c r="K225" s="2"/>
      <c r="L225" s="2"/>
    </row>
    <row r="226" spans="1:12" ht="49.95" customHeight="1" x14ac:dyDescent="0.3">
      <c r="A226" s="3" t="s">
        <v>559</v>
      </c>
      <c r="B226" s="2" t="s">
        <v>560</v>
      </c>
      <c r="C226" s="2"/>
      <c r="D226" s="2" t="s">
        <v>15</v>
      </c>
      <c r="E226" s="4" t="str">
        <f>IF(ISERROR("QC_DAY"),"",HYPERLINK("#INDEX('Value Lookup'!A:A,MATCH(A" &amp; ROW() &amp; ",'Value Lookup'!A:A,0))","Value Lookup"))</f>
        <v>Value Lookup</v>
      </c>
      <c r="F226" s="4" t="str">
        <f>IF(ISERROR("QC_DAY"),"",HYPERLINK("#INDEX('Frequencies'!A:A,MATCH(A" &amp; ROW() &amp; ",'Frequencies'!A:A,0))","Frequencies"))</f>
        <v>Frequencies</v>
      </c>
      <c r="G226" s="2"/>
      <c r="H226" s="2">
        <v>131</v>
      </c>
      <c r="I226" s="2"/>
      <c r="J226" s="2"/>
      <c r="K226" s="2"/>
      <c r="L226" s="2"/>
    </row>
    <row r="227" spans="1:12" ht="49.95" customHeight="1" x14ac:dyDescent="0.3">
      <c r="A227" s="3" t="s">
        <v>561</v>
      </c>
      <c r="B227" s="2" t="s">
        <v>562</v>
      </c>
      <c r="C227" s="2"/>
      <c r="D227" s="2" t="s">
        <v>15</v>
      </c>
      <c r="E227" s="4" t="str">
        <f>IF(ISERROR("QC_JOINT"),"",HYPERLINK("#INDEX('Value Lookup'!A:A,MATCH(A" &amp; ROW() &amp; ",'Value Lookup'!A:A,0))","Value Lookup"))</f>
        <v>Value Lookup</v>
      </c>
      <c r="F227" s="4" t="str">
        <f>IF(ISERROR("QC_JOINT"),"",HYPERLINK("#INDEX('Frequencies'!A:A,MATCH(A" &amp; ROW() &amp; ",'Frequencies'!A:A,0))","Frequencies"))</f>
        <v>Frequencies</v>
      </c>
      <c r="G227" s="2"/>
      <c r="H227" s="2">
        <v>128</v>
      </c>
      <c r="I227" s="2"/>
      <c r="J227" s="2"/>
      <c r="K227" s="2"/>
      <c r="L227" s="2"/>
    </row>
    <row r="228" spans="1:12" ht="49.95" customHeight="1" x14ac:dyDescent="0.3">
      <c r="A228" s="3" t="s">
        <v>563</v>
      </c>
      <c r="B228" s="2" t="s">
        <v>564</v>
      </c>
      <c r="C228" s="2"/>
      <c r="D228" s="2" t="s">
        <v>15</v>
      </c>
      <c r="E228" s="4" t="str">
        <f>IF(ISERROR("QC_LOC"),"",HYPERLINK("#INDEX('Value Lookup'!A:A,MATCH(A" &amp; ROW() &amp; ",'Value Lookup'!A:A,0))","Value Lookup"))</f>
        <v>Value Lookup</v>
      </c>
      <c r="F228" s="4" t="str">
        <f>IF(ISERROR("QC_LOC"),"",HYPERLINK("#INDEX('Frequencies'!A:A,MATCH(A" &amp; ROW() &amp; ",'Frequencies'!A:A,0))","Frequencies"))</f>
        <v>Frequencies</v>
      </c>
      <c r="G228" s="2"/>
      <c r="H228" s="2">
        <v>127</v>
      </c>
      <c r="I228" s="2"/>
      <c r="J228" s="2"/>
      <c r="K228" s="2"/>
      <c r="L228" s="2"/>
    </row>
    <row r="229" spans="1:12" ht="49.95" customHeight="1" x14ac:dyDescent="0.3">
      <c r="A229" s="3" t="s">
        <v>565</v>
      </c>
      <c r="B229" s="2" t="s">
        <v>566</v>
      </c>
      <c r="C229" s="2"/>
      <c r="D229" s="2" t="s">
        <v>15</v>
      </c>
      <c r="E229" s="4" t="str">
        <f>IF(ISERROR("QC_LOOP"),"",HYPERLINK("#INDEX('Value Lookup'!A:A,MATCH(A" &amp; ROW() &amp; ",'Value Lookup'!A:A,0))","Value Lookup"))</f>
        <v>Value Lookup</v>
      </c>
      <c r="F229" s="4" t="str">
        <f>IF(ISERROR("QC_LOOP"),"",HYPERLINK("#INDEX('Frequencies'!A:A,MATCH(A" &amp; ROW() &amp; ",'Frequencies'!A:A,0))","Frequencies"))</f>
        <v>Frequencies</v>
      </c>
      <c r="G229" s="2"/>
      <c r="H229" s="2">
        <v>130</v>
      </c>
      <c r="I229" s="2"/>
      <c r="J229" s="2"/>
      <c r="K229" s="2"/>
      <c r="L229" s="2"/>
    </row>
    <row r="230" spans="1:12" ht="49.95" customHeight="1" x14ac:dyDescent="0.3">
      <c r="A230" s="3" t="s">
        <v>567</v>
      </c>
      <c r="B230" s="2" t="s">
        <v>568</v>
      </c>
      <c r="C230" s="2"/>
      <c r="D230" s="2" t="s">
        <v>15</v>
      </c>
      <c r="E230" s="4" t="str">
        <f>IF(ISERROR("QC_TIME"),"",HYPERLINK("#INDEX('Value Lookup'!A:A,MATCH(A" &amp; ROW() &amp; ",'Value Lookup'!A:A,0))","Value Lookup"))</f>
        <v>Value Lookup</v>
      </c>
      <c r="F230" s="4" t="str">
        <f>IF(ISERROR("QC_TIME"),"",HYPERLINK("#INDEX('Frequencies'!A:A,MATCH(A" &amp; ROW() &amp; ",'Frequencies'!A:A,0))","Frequencies"))</f>
        <v>Frequencies</v>
      </c>
      <c r="G230" s="2"/>
      <c r="H230" s="2">
        <v>129</v>
      </c>
      <c r="I230" s="2"/>
      <c r="J230" s="2"/>
      <c r="K230" s="2"/>
      <c r="L230" s="2"/>
    </row>
    <row r="231" spans="1:12" ht="49.95" customHeight="1" x14ac:dyDescent="0.3">
      <c r="A231" s="3" t="s">
        <v>569</v>
      </c>
      <c r="B231" s="2" t="s">
        <v>570</v>
      </c>
      <c r="C231" s="2" t="s">
        <v>571</v>
      </c>
      <c r="D231" s="2" t="s">
        <v>15</v>
      </c>
      <c r="E231" s="4" t="str">
        <f>IF(ISERROR("RACE_1"),"",HYPERLINK("#INDEX('Value Lookup'!A:A,MATCH(A" &amp; ROW() &amp; ",'Value Lookup'!A:A,0))","Value Lookup"))</f>
        <v>Value Lookup</v>
      </c>
      <c r="F231" s="4" t="str">
        <f>IF(ISERROR("RACE_1"),"",HYPERLINK("#INDEX('Frequencies'!A:A,MATCH(A" &amp; ROW() &amp; ",'Frequencies'!A:A,0))","Frequencies"))</f>
        <v>Frequencies</v>
      </c>
      <c r="G231" s="2"/>
      <c r="H231" s="2">
        <v>86</v>
      </c>
      <c r="I231" s="2"/>
      <c r="J231" s="2"/>
      <c r="K231" s="2"/>
      <c r="L231" s="2"/>
    </row>
    <row r="232" spans="1:12" ht="49.95" customHeight="1" x14ac:dyDescent="0.3">
      <c r="A232" s="3" t="s">
        <v>572</v>
      </c>
      <c r="B232" s="2" t="s">
        <v>573</v>
      </c>
      <c r="C232" s="2" t="s">
        <v>571</v>
      </c>
      <c r="D232" s="2" t="s">
        <v>15</v>
      </c>
      <c r="E232" s="4" t="str">
        <f>IF(ISERROR("RACE_2"),"",HYPERLINK("#INDEX('Value Lookup'!A:A,MATCH(A" &amp; ROW() &amp; ",'Value Lookup'!A:A,0))","Value Lookup"))</f>
        <v>Value Lookup</v>
      </c>
      <c r="F232" s="4" t="str">
        <f>IF(ISERROR("RACE_2"),"",HYPERLINK("#INDEX('Frequencies'!A:A,MATCH(A" &amp; ROW() &amp; ",'Frequencies'!A:A,0))","Frequencies"))</f>
        <v>Frequencies</v>
      </c>
      <c r="G232" s="2"/>
      <c r="H232" s="2">
        <v>87</v>
      </c>
      <c r="I232" s="2"/>
      <c r="J232" s="2"/>
      <c r="K232" s="2"/>
      <c r="L232" s="2"/>
    </row>
    <row r="233" spans="1:12" ht="49.95" customHeight="1" x14ac:dyDescent="0.3">
      <c r="A233" s="3" t="s">
        <v>574</v>
      </c>
      <c r="B233" s="2" t="s">
        <v>575</v>
      </c>
      <c r="C233" s="2" t="s">
        <v>571</v>
      </c>
      <c r="D233" s="2" t="s">
        <v>15</v>
      </c>
      <c r="E233" s="4" t="str">
        <f>IF(ISERROR("RACE_3"),"",HYPERLINK("#INDEX('Value Lookup'!A:A,MATCH(A" &amp; ROW() &amp; ",'Value Lookup'!A:A,0))","Value Lookup"))</f>
        <v>Value Lookup</v>
      </c>
      <c r="F233" s="4" t="str">
        <f>IF(ISERROR("RACE_3"),"",HYPERLINK("#INDEX('Frequencies'!A:A,MATCH(A" &amp; ROW() &amp; ",'Frequencies'!A:A,0))","Frequencies"))</f>
        <v>Frequencies</v>
      </c>
      <c r="G233" s="2"/>
      <c r="H233" s="2">
        <v>88</v>
      </c>
      <c r="I233" s="2"/>
      <c r="J233" s="2"/>
      <c r="K233" s="2"/>
      <c r="L233" s="2"/>
    </row>
    <row r="234" spans="1:12" ht="49.95" customHeight="1" x14ac:dyDescent="0.3">
      <c r="A234" s="3" t="s">
        <v>576</v>
      </c>
      <c r="B234" s="2" t="s">
        <v>577</v>
      </c>
      <c r="C234" s="2" t="s">
        <v>571</v>
      </c>
      <c r="D234" s="2" t="s">
        <v>15</v>
      </c>
      <c r="E234" s="4" t="str">
        <f>IF(ISERROR("RACE_4"),"",HYPERLINK("#INDEX('Value Lookup'!A:A,MATCH(A" &amp; ROW() &amp; ",'Value Lookup'!A:A,0))","Value Lookup"))</f>
        <v>Value Lookup</v>
      </c>
      <c r="F234" s="4" t="str">
        <f>IF(ISERROR("RACE_4"),"",HYPERLINK("#INDEX('Frequencies'!A:A,MATCH(A" &amp; ROW() &amp; ",'Frequencies'!A:A,0))","Frequencies"))</f>
        <v>Frequencies</v>
      </c>
      <c r="G234" s="2"/>
      <c r="H234" s="2">
        <v>89</v>
      </c>
      <c r="I234" s="2"/>
      <c r="J234" s="2"/>
      <c r="K234" s="2"/>
      <c r="L234" s="2"/>
    </row>
    <row r="235" spans="1:12" ht="49.95" customHeight="1" x14ac:dyDescent="0.3">
      <c r="A235" s="3" t="s">
        <v>578</v>
      </c>
      <c r="B235" s="2" t="s">
        <v>579</v>
      </c>
      <c r="C235" s="2" t="s">
        <v>571</v>
      </c>
      <c r="D235" s="2" t="s">
        <v>15</v>
      </c>
      <c r="E235" s="4" t="str">
        <f>IF(ISERROR("RACE_5"),"",HYPERLINK("#INDEX('Value Lookup'!A:A,MATCH(A" &amp; ROW() &amp; ",'Value Lookup'!A:A,0))","Value Lookup"))</f>
        <v>Value Lookup</v>
      </c>
      <c r="F235" s="4" t="str">
        <f>IF(ISERROR("RACE_5"),"",HYPERLINK("#INDEX('Frequencies'!A:A,MATCH(A" &amp; ROW() &amp; ",'Frequencies'!A:A,0))","Frequencies"))</f>
        <v>Frequencies</v>
      </c>
      <c r="G235" s="2"/>
      <c r="H235" s="2">
        <v>90</v>
      </c>
      <c r="I235" s="2"/>
      <c r="J235" s="2"/>
      <c r="K235" s="2"/>
      <c r="L235" s="2"/>
    </row>
    <row r="236" spans="1:12" ht="49.95" customHeight="1" x14ac:dyDescent="0.3">
      <c r="A236" s="3" t="s">
        <v>580</v>
      </c>
      <c r="B236" s="2" t="s">
        <v>581</v>
      </c>
      <c r="C236" s="2" t="s">
        <v>571</v>
      </c>
      <c r="D236" s="2" t="s">
        <v>15</v>
      </c>
      <c r="E236" s="4" t="str">
        <f>IF(ISERROR("RACE_DK"),"",HYPERLINK("#INDEX('Value Lookup'!A:A,MATCH(A" &amp; ROW() &amp; ",'Value Lookup'!A:A,0))","Value Lookup"))</f>
        <v>Value Lookup</v>
      </c>
      <c r="F236" s="4" t="str">
        <f>IF(ISERROR("RACE_DK"),"",HYPERLINK("#INDEX('Frequencies'!A:A,MATCH(A" &amp; ROW() &amp; ",'Frequencies'!A:A,0))","Frequencies"))</f>
        <v>Frequencies</v>
      </c>
      <c r="G236" s="2"/>
      <c r="H236" s="2">
        <v>91</v>
      </c>
      <c r="I236" s="2"/>
      <c r="J236" s="2"/>
      <c r="K236" s="2"/>
      <c r="L236" s="2"/>
    </row>
    <row r="237" spans="1:12" ht="49.95" customHeight="1" x14ac:dyDescent="0.3">
      <c r="A237" s="3" t="s">
        <v>582</v>
      </c>
      <c r="B237" s="2" t="s">
        <v>583</v>
      </c>
      <c r="C237" s="2" t="s">
        <v>584</v>
      </c>
      <c r="D237" s="2" t="s">
        <v>15</v>
      </c>
      <c r="E237" s="4" t="str">
        <f>IF(ISERROR("RACE_O"),"",HYPERLINK("#INDEX('Value Lookup'!A:A,MATCH(A" &amp; ROW() &amp; ",'Value Lookup'!A:A,0))","Value Lookup"))</f>
        <v>Value Lookup</v>
      </c>
      <c r="F237" s="4" t="str">
        <f>IF(ISERROR("RACE_O"),"",HYPERLINK("#INDEX('Frequencies'!A:A,MATCH(A" &amp; ROW() &amp; ",'Frequencies'!A:A,0))","Frequencies"))</f>
        <v>Frequencies</v>
      </c>
      <c r="G237" s="2"/>
      <c r="H237" s="2">
        <v>94</v>
      </c>
      <c r="I237" s="2"/>
      <c r="J237" s="2"/>
      <c r="K237" s="2"/>
      <c r="L237" s="2"/>
    </row>
    <row r="238" spans="1:12" ht="49.95" customHeight="1" x14ac:dyDescent="0.3">
      <c r="A238" s="3" t="s">
        <v>585</v>
      </c>
      <c r="B238" s="2" t="s">
        <v>586</v>
      </c>
      <c r="C238" s="2" t="s">
        <v>571</v>
      </c>
      <c r="D238" s="2" t="s">
        <v>15</v>
      </c>
      <c r="E238" s="4" t="str">
        <f>IF(ISERROR("RACE_RF"),"",HYPERLINK("#INDEX('Value Lookup'!A:A,MATCH(A" &amp; ROW() &amp; ",'Value Lookup'!A:A,0))","Value Lookup"))</f>
        <v>Value Lookup</v>
      </c>
      <c r="F238" s="4" t="str">
        <f>IF(ISERROR("RACE_RF"),"",HYPERLINK("#INDEX('Frequencies'!A:A,MATCH(A" &amp; ROW() &amp; ",'Frequencies'!A:A,0))","Frequencies"))</f>
        <v>Frequencies</v>
      </c>
      <c r="G238" s="2"/>
      <c r="H238" s="2">
        <v>92</v>
      </c>
      <c r="I238" s="2"/>
      <c r="J238" s="2"/>
      <c r="K238" s="2"/>
      <c r="L238" s="2"/>
    </row>
    <row r="239" spans="1:12" ht="49.95" customHeight="1" x14ac:dyDescent="0.3">
      <c r="A239" s="3" t="s">
        <v>587</v>
      </c>
      <c r="B239" s="2" t="s">
        <v>588</v>
      </c>
      <c r="C239" s="2" t="s">
        <v>571</v>
      </c>
      <c r="D239" s="2" t="s">
        <v>15</v>
      </c>
      <c r="E239" s="4" t="str">
        <f>IF(ISERROR("RACE_SE"),"",HYPERLINK("#INDEX('Value Lookup'!A:A,MATCH(A" &amp; ROW() &amp; ",'Value Lookup'!A:A,0))","Value Lookup"))</f>
        <v>Value Lookup</v>
      </c>
      <c r="F239" s="4" t="str">
        <f>IF(ISERROR("RACE_SE"),"",HYPERLINK("#INDEX('Frequencies'!A:A,MATCH(A" &amp; ROW() &amp; ",'Frequencies'!A:A,0))","Frequencies"))</f>
        <v>Frequencies</v>
      </c>
      <c r="G239" s="2"/>
      <c r="H239" s="2">
        <v>93</v>
      </c>
      <c r="I239" s="2"/>
      <c r="J239" s="2"/>
      <c r="K239" s="2"/>
      <c r="L239" s="2"/>
    </row>
    <row r="240" spans="1:12" ht="49.95" customHeight="1" x14ac:dyDescent="0.3">
      <c r="A240" s="3" t="s">
        <v>589</v>
      </c>
      <c r="B240" s="2" t="s">
        <v>590</v>
      </c>
      <c r="C240" s="2" t="s">
        <v>591</v>
      </c>
      <c r="D240" s="2" t="s">
        <v>45</v>
      </c>
      <c r="E240" s="2" t="str">
        <f>IF(ISERROR("R_AGE"),"","Range: 0 - 110")</f>
        <v>Range: 0 - 110</v>
      </c>
      <c r="F240" s="4" t="str">
        <f>IF(ISERROR("R_AGE"),"",HYPERLINK("#INDEX('Frequencies'!A:A,MATCH(A" &amp; ROW() &amp; ",'Frequencies'!A:A,0))","Frequencies"))</f>
        <v>Frequencies</v>
      </c>
      <c r="G240" s="2"/>
      <c r="H240" s="2">
        <v>4</v>
      </c>
      <c r="I240" s="2"/>
      <c r="J240" s="2"/>
      <c r="K240" s="2"/>
      <c r="L240" s="2"/>
    </row>
    <row r="241" spans="1:12" ht="49.95" customHeight="1" x14ac:dyDescent="0.3">
      <c r="A241" s="3" t="s">
        <v>592</v>
      </c>
      <c r="B241" s="2" t="s">
        <v>593</v>
      </c>
      <c r="C241" s="2"/>
      <c r="D241" s="2" t="s">
        <v>45</v>
      </c>
      <c r="E241" s="2" t="str">
        <f>IF(ISERROR("R_AGE_IMP"),"","NA")</f>
        <v>NA</v>
      </c>
      <c r="F241" s="4" t="str">
        <f>IF(ISERROR("R_AGE_IMP"),"",HYPERLINK("#INDEX('Frequencies'!A:A,MATCH(A" &amp; ROW() &amp; ",'Frequencies'!A:A,0))","Frequencies"))</f>
        <v>Frequencies</v>
      </c>
      <c r="G241" s="2"/>
      <c r="H241" s="2">
        <v>148</v>
      </c>
      <c r="I241" s="2"/>
      <c r="J241" s="2"/>
      <c r="K241" s="2"/>
      <c r="L241" s="2"/>
    </row>
    <row r="242" spans="1:12" ht="49.95" customHeight="1" x14ac:dyDescent="0.3">
      <c r="A242" s="3" t="s">
        <v>594</v>
      </c>
      <c r="B242" s="2" t="s">
        <v>595</v>
      </c>
      <c r="C242" s="2"/>
      <c r="D242" s="2" t="s">
        <v>15</v>
      </c>
      <c r="E242" s="4" t="str">
        <f>IF(ISERROR("RAIL"),"",HYPERLINK("#INDEX('Value Lookup'!A:A,MATCH(A" &amp; ROW() &amp; ",'Value Lookup'!A:A,0))","Value Lookup"))</f>
        <v>Value Lookup</v>
      </c>
      <c r="F242" s="4" t="str">
        <f>IF(ISERROR("RAIL"),"",HYPERLINK("#INDEX('Frequencies'!A:A,MATCH(A" &amp; ROW() &amp; ",'Frequencies'!A:A,0))","Frequencies"))</f>
        <v>Frequencies</v>
      </c>
      <c r="G242" s="2">
        <v>78</v>
      </c>
      <c r="H242" s="2"/>
      <c r="I242" s="2"/>
      <c r="J242" s="2"/>
      <c r="K242" s="2"/>
      <c r="L242" s="2"/>
    </row>
    <row r="243" spans="1:12" ht="49.95" customHeight="1" x14ac:dyDescent="0.3">
      <c r="A243" s="3" t="s">
        <v>596</v>
      </c>
      <c r="B243" s="2" t="s">
        <v>597</v>
      </c>
      <c r="C243" s="2"/>
      <c r="D243" s="2" t="s">
        <v>15</v>
      </c>
      <c r="E243" s="4" t="str">
        <f>IF(ISERROR("RECMODE"),"",HYPERLINK("#INDEX('Value Lookup'!A:A,MATCH(A" &amp; ROW() &amp; ",'Value Lookup'!A:A,0))","Value Lookup"))</f>
        <v>Value Lookup</v>
      </c>
      <c r="F243" s="4" t="str">
        <f>IF(ISERROR("RECMODE"),"",HYPERLINK("#INDEX('Frequencies'!A:A,MATCH(A" &amp; ROW() &amp; ",'Frequencies'!A:A,0))","Frequencies"))</f>
        <v>Frequencies</v>
      </c>
      <c r="G243" s="2">
        <v>9</v>
      </c>
      <c r="H243" s="2"/>
      <c r="I243" s="2"/>
      <c r="J243" s="2"/>
      <c r="K243" s="2"/>
      <c r="L243" s="2"/>
    </row>
    <row r="244" spans="1:12" ht="49.95" customHeight="1" x14ac:dyDescent="0.3">
      <c r="A244" s="3" t="s">
        <v>598</v>
      </c>
      <c r="B244" s="2" t="s">
        <v>599</v>
      </c>
      <c r="C244" s="2"/>
      <c r="D244" s="2" t="s">
        <v>45</v>
      </c>
      <c r="E244" s="2" t="str">
        <f>IF(ISERROR("RESP_CNT"),"","NA")</f>
        <v>NA</v>
      </c>
      <c r="F244" s="4" t="str">
        <f>IF(ISERROR("RESP_CNT"),"",HYPERLINK("#INDEX('Frequencies'!A:A,MATCH(A" &amp; ROW() &amp; ",'Frequencies'!A:A,0))","Frequencies"))</f>
        <v>Frequencies</v>
      </c>
      <c r="G244" s="2">
        <v>91</v>
      </c>
      <c r="H244" s="2"/>
      <c r="I244" s="2"/>
      <c r="J244" s="2"/>
      <c r="K244" s="2"/>
      <c r="L244" s="2"/>
    </row>
    <row r="245" spans="1:12" ht="49.95" customHeight="1" x14ac:dyDescent="0.3">
      <c r="A245" s="3" t="s">
        <v>600</v>
      </c>
      <c r="B245" s="2" t="s">
        <v>601</v>
      </c>
      <c r="C245" s="2"/>
      <c r="D245" s="2" t="s">
        <v>15</v>
      </c>
      <c r="E245" s="4" t="str">
        <f>IF(ISERROR("RETMODE"),"",HYPERLINK("#INDEX('Value Lookup'!A:A,MATCH(A" &amp; ROW() &amp; ",'Value Lookup'!A:A,0))","Value Lookup"))</f>
        <v>Value Lookup</v>
      </c>
      <c r="F245" s="4" t="str">
        <f>IF(ISERROR("RETMODE"),"",HYPERLINK("#INDEX('Frequencies'!A:A,MATCH(A" &amp; ROW() &amp; ",'Frequencies'!A:A,0))","Frequencies"))</f>
        <v>Frequencies</v>
      </c>
      <c r="G245" s="2">
        <v>10</v>
      </c>
      <c r="H245" s="2"/>
      <c r="I245" s="2"/>
      <c r="J245" s="2"/>
      <c r="K245" s="2"/>
      <c r="L245" s="2"/>
    </row>
    <row r="246" spans="1:12" ht="49.95" customHeight="1" x14ac:dyDescent="0.3">
      <c r="A246" s="3" t="s">
        <v>602</v>
      </c>
      <c r="B246" s="2" t="s">
        <v>603</v>
      </c>
      <c r="C246" s="2" t="s">
        <v>604</v>
      </c>
      <c r="D246" s="2" t="s">
        <v>15</v>
      </c>
      <c r="E246" s="4" t="str">
        <f>IF(ISERROR("R_HISP"),"",HYPERLINK("#INDEX('Value Lookup'!A:A,MATCH(A" &amp; ROW() &amp; ",'Value Lookup'!A:A,0))","Value Lookup"))</f>
        <v>Value Lookup</v>
      </c>
      <c r="F246" s="4" t="str">
        <f>IF(ISERROR("R_HISP"),"",HYPERLINK("#INDEX('Frequencies'!A:A,MATCH(A" &amp; ROW() &amp; ",'Frequencies'!A:A,0))","Frequencies"))</f>
        <v>Frequencies</v>
      </c>
      <c r="G246" s="2"/>
      <c r="H246" s="2">
        <v>8</v>
      </c>
      <c r="I246" s="2"/>
      <c r="J246" s="2"/>
      <c r="K246" s="2"/>
      <c r="L246" s="2"/>
    </row>
    <row r="247" spans="1:12" ht="49.95" customHeight="1" x14ac:dyDescent="0.3">
      <c r="A247" s="3" t="s">
        <v>605</v>
      </c>
      <c r="B247" s="2" t="s">
        <v>606</v>
      </c>
      <c r="C247" s="2"/>
      <c r="D247" s="2" t="s">
        <v>15</v>
      </c>
      <c r="E247" s="2" t="str">
        <f>IF(ISERROR("R_HISP_IMP"),"","NA")</f>
        <v>NA</v>
      </c>
      <c r="F247" s="4" t="str">
        <f>IF(ISERROR("R_HISP_IMP"),"",HYPERLINK("#INDEX('Frequencies'!A:A,MATCH(A" &amp; ROW() &amp; ",'Frequencies'!A:A,0))","Frequencies"))</f>
        <v>Frequencies</v>
      </c>
      <c r="G247" s="2"/>
      <c r="H247" s="2">
        <v>150</v>
      </c>
      <c r="I247" s="2"/>
      <c r="J247" s="2"/>
      <c r="K247" s="2"/>
      <c r="L247" s="2"/>
    </row>
    <row r="248" spans="1:12" ht="49.95" customHeight="1" x14ac:dyDescent="0.3">
      <c r="A248" s="3" t="s">
        <v>607</v>
      </c>
      <c r="B248" s="2" t="s">
        <v>608</v>
      </c>
      <c r="C248" s="2" t="s">
        <v>609</v>
      </c>
      <c r="D248" s="2" t="s">
        <v>45</v>
      </c>
      <c r="E248" s="2" t="str">
        <f>IF(ISERROR("RIDESHARE"),"","Range: 0 - 99")</f>
        <v>Range: 0 - 99</v>
      </c>
      <c r="F248" s="4" t="str">
        <f>IF(ISERROR("RIDESHARE"),"",HYPERLINK("#INDEX('Frequencies'!A:A,MATCH(A" &amp; ROW() &amp; ",'Frequencies'!A:A,0))","Frequencies"))</f>
        <v>Frequencies</v>
      </c>
      <c r="G248" s="2"/>
      <c r="H248" s="2">
        <v>49</v>
      </c>
      <c r="I248" s="2"/>
      <c r="J248" s="2"/>
      <c r="K248" s="2"/>
      <c r="L248" s="2"/>
    </row>
    <row r="249" spans="1:12" ht="49.95" customHeight="1" x14ac:dyDescent="0.3">
      <c r="A249" s="3" t="s">
        <v>610</v>
      </c>
      <c r="B249" s="2" t="s">
        <v>611</v>
      </c>
      <c r="C249" s="2"/>
      <c r="D249" s="2" t="s">
        <v>15</v>
      </c>
      <c r="E249" s="4" t="str">
        <f>IF(ISERROR("R_RACE"),"",HYPERLINK("#INDEX('Value Lookup'!A:A,MATCH(A" &amp; ROW() &amp; ",'Value Lookup'!A:A,0))","Value Lookup"))</f>
        <v>Value Lookup</v>
      </c>
      <c r="F249" s="4" t="str">
        <f>IF(ISERROR("R_RACE"),"",HYPERLINK("#INDEX('Frequencies'!A:A,MATCH(A" &amp; ROW() &amp; ",'Frequencies'!A:A,0))","Frequencies"))</f>
        <v>Frequencies</v>
      </c>
      <c r="G249" s="2"/>
      <c r="H249" s="2">
        <v>11</v>
      </c>
      <c r="I249" s="2"/>
      <c r="J249" s="2"/>
      <c r="K249" s="2"/>
      <c r="L249" s="2"/>
    </row>
    <row r="250" spans="1:12" ht="49.95" customHeight="1" x14ac:dyDescent="0.3">
      <c r="A250" s="3" t="s">
        <v>612</v>
      </c>
      <c r="B250" s="2" t="s">
        <v>613</v>
      </c>
      <c r="C250" s="2"/>
      <c r="D250" s="2" t="s">
        <v>15</v>
      </c>
      <c r="E250" s="2" t="str">
        <f>IF(ISERROR("R_RACE_IMP"),"","NA")</f>
        <v>NA</v>
      </c>
      <c r="F250" s="4" t="str">
        <f>IF(ISERROR("R_RACE_IMP"),"",HYPERLINK("#INDEX('Frequencies'!A:A,MATCH(A" &amp; ROW() &amp; ",'Frequencies'!A:A,0))","Frequencies"))</f>
        <v>Frequencies</v>
      </c>
      <c r="G250" s="2"/>
      <c r="H250" s="2">
        <v>151</v>
      </c>
      <c r="I250" s="2"/>
      <c r="J250" s="2"/>
      <c r="K250" s="2"/>
      <c r="L250" s="2"/>
    </row>
    <row r="251" spans="1:12" ht="49.95" customHeight="1" x14ac:dyDescent="0.3">
      <c r="A251" s="3" t="s">
        <v>614</v>
      </c>
      <c r="B251" s="2" t="s">
        <v>615</v>
      </c>
      <c r="C251" s="2" t="s">
        <v>616</v>
      </c>
      <c r="D251" s="2" t="s">
        <v>15</v>
      </c>
      <c r="E251" s="4" t="str">
        <f>IF(ISERROR("R_RELAT"),"",HYPERLINK("#INDEX('Value Lookup'!A:A,MATCH(A" &amp; ROW() &amp; ",'Value Lookup'!A:A,0))","Value Lookup"))</f>
        <v>Value Lookup</v>
      </c>
      <c r="F251" s="4" t="str">
        <f>IF(ISERROR("R_RELAT"),"",HYPERLINK("#INDEX('Frequencies'!A:A,MATCH(A" &amp; ROW() &amp; ",'Frequencies'!A:A,0))","Frequencies"))</f>
        <v>Frequencies</v>
      </c>
      <c r="G251" s="2"/>
      <c r="H251" s="2">
        <v>9</v>
      </c>
      <c r="I251" s="2"/>
      <c r="J251" s="2"/>
      <c r="K251" s="2"/>
      <c r="L251" s="2"/>
    </row>
    <row r="252" spans="1:12" ht="49.95" customHeight="1" x14ac:dyDescent="0.3">
      <c r="A252" s="3" t="s">
        <v>617</v>
      </c>
      <c r="B252" s="2" t="s">
        <v>601</v>
      </c>
      <c r="C252" s="2"/>
      <c r="D252" s="2" t="s">
        <v>15</v>
      </c>
      <c r="E252" s="4" t="str">
        <f>IF(ISERROR("R_RETMODE"),"",HYPERLINK("#INDEX('Value Lookup'!A:A,MATCH(A" &amp; ROW() &amp; ",'Value Lookup'!A:A,0))","Value Lookup"))</f>
        <v>Value Lookup</v>
      </c>
      <c r="F252" s="4" t="str">
        <f>IF(ISERROR("R_RETMODE"),"",HYPERLINK("#INDEX('Frequencies'!A:A,MATCH(A" &amp; ROW() &amp; ",'Frequencies'!A:A,0))","Frequencies"))</f>
        <v>Frequencies</v>
      </c>
      <c r="G252" s="2"/>
      <c r="H252" s="2">
        <v>147</v>
      </c>
      <c r="I252" s="2"/>
      <c r="J252" s="2"/>
      <c r="K252" s="2"/>
      <c r="L252" s="2"/>
    </row>
    <row r="253" spans="1:12" ht="49.95" customHeight="1" x14ac:dyDescent="0.3">
      <c r="A253" s="3" t="s">
        <v>618</v>
      </c>
      <c r="B253" s="2" t="s">
        <v>619</v>
      </c>
      <c r="C253" s="2" t="s">
        <v>620</v>
      </c>
      <c r="D253" s="2" t="s">
        <v>15</v>
      </c>
      <c r="E253" s="4" t="str">
        <f>IF(ISERROR("R_SEX"),"",HYPERLINK("#INDEX('Value Lookup'!A:A,MATCH(A" &amp; ROW() &amp; ",'Value Lookup'!A:A,0))","Value Lookup"))</f>
        <v>Value Lookup</v>
      </c>
      <c r="F253" s="4" t="str">
        <f>IF(ISERROR("R_SEX"),"",HYPERLINK("#INDEX('Frequencies'!A:A,MATCH(A" &amp; ROW() &amp; ",'Frequencies'!A:A,0))","Frequencies"))</f>
        <v>Frequencies</v>
      </c>
      <c r="G253" s="2"/>
      <c r="H253" s="2">
        <v>10</v>
      </c>
      <c r="I253" s="2"/>
      <c r="J253" s="2"/>
      <c r="K253" s="2"/>
      <c r="L253" s="2"/>
    </row>
    <row r="254" spans="1:12" ht="49.95" customHeight="1" x14ac:dyDescent="0.3">
      <c r="A254" s="3" t="s">
        <v>621</v>
      </c>
      <c r="B254" s="2" t="s">
        <v>622</v>
      </c>
      <c r="C254" s="2"/>
      <c r="D254" s="2" t="s">
        <v>15</v>
      </c>
      <c r="E254" s="2" t="str">
        <f>IF(ISERROR("R_SEX_IMP"),"","NA")</f>
        <v>NA</v>
      </c>
      <c r="F254" s="4" t="str">
        <f>IF(ISERROR("R_SEX_IMP"),"",HYPERLINK("#INDEX('Frequencies'!A:A,MATCH(A" &amp; ROW() &amp; ",'Frequencies'!A:A,0))","Frequencies"))</f>
        <v>Frequencies</v>
      </c>
      <c r="G254" s="2"/>
      <c r="H254" s="2">
        <v>149</v>
      </c>
      <c r="I254" s="2"/>
      <c r="J254" s="2"/>
      <c r="K254" s="2"/>
      <c r="L254" s="2"/>
    </row>
    <row r="255" spans="1:12" ht="49.95" customHeight="1" x14ac:dyDescent="0.3">
      <c r="A255" s="3" t="s">
        <v>623</v>
      </c>
      <c r="B255" s="2" t="s">
        <v>624</v>
      </c>
      <c r="C255" s="2" t="s">
        <v>625</v>
      </c>
      <c r="D255" s="2" t="s">
        <v>15</v>
      </c>
      <c r="E255" s="4" t="str">
        <f>IF(ISERROR("SAMEPLC"),"",HYPERLINK("#INDEX('Value Lookup'!A:A,MATCH(A" &amp; ROW() &amp; ",'Value Lookup'!A:A,0))","Value Lookup"))</f>
        <v>Value Lookup</v>
      </c>
      <c r="F255" s="4" t="str">
        <f>IF(ISERROR("SAMEPLC"),"",HYPERLINK("#INDEX('Frequencies'!A:A,MATCH(A" &amp; ROW() &amp; ",'Frequencies'!A:A,0))","Frequencies"))</f>
        <v>Frequencies</v>
      </c>
      <c r="G255" s="2"/>
      <c r="H255" s="2">
        <v>84</v>
      </c>
      <c r="I255" s="2"/>
      <c r="J255" s="2"/>
      <c r="K255" s="2"/>
      <c r="L255" s="2"/>
    </row>
    <row r="256" spans="1:12" ht="49.95" customHeight="1" x14ac:dyDescent="0.3">
      <c r="A256" s="3" t="s">
        <v>626</v>
      </c>
      <c r="B256" s="2" t="s">
        <v>627</v>
      </c>
      <c r="C256" s="2" t="s">
        <v>625</v>
      </c>
      <c r="D256" s="2" t="s">
        <v>15</v>
      </c>
      <c r="E256" s="4" t="str">
        <f>IF(ISERROR("SAMEPLC_O"),"",HYPERLINK("#INDEX('Value Lookup'!A:A,MATCH(A" &amp; ROW() &amp; ",'Value Lookup'!A:A,0))","Value Lookup"))</f>
        <v>Value Lookup</v>
      </c>
      <c r="F256" s="4" t="str">
        <f>IF(ISERROR("SAMEPLC_O"),"",HYPERLINK("#INDEX('Frequencies'!A:A,MATCH(A" &amp; ROW() &amp; ",'Frequencies'!A:A,0))","Frequencies"))</f>
        <v>Frequencies</v>
      </c>
      <c r="G256" s="2"/>
      <c r="H256" s="2">
        <v>85</v>
      </c>
      <c r="I256" s="2"/>
      <c r="J256" s="2"/>
      <c r="K256" s="2"/>
      <c r="L256" s="2"/>
    </row>
    <row r="257" spans="1:12" ht="49.95" customHeight="1" x14ac:dyDescent="0.3">
      <c r="A257" s="3" t="s">
        <v>628</v>
      </c>
      <c r="B257" s="2" t="s">
        <v>629</v>
      </c>
      <c r="C257" s="2"/>
      <c r="D257" s="2" t="s">
        <v>15</v>
      </c>
      <c r="E257" s="4" t="str">
        <f>IF(ISERROR("SAMPAREA"),"",HYPERLINK("#INDEX('Value Lookup'!A:A,MATCH(A" &amp; ROW() &amp; ",'Value Lookup'!A:A,0))","Value Lookup"))</f>
        <v>Value Lookup</v>
      </c>
      <c r="F257" s="4" t="str">
        <f>IF(ISERROR("SAMPAREA"),"",HYPERLINK("#INDEX('Frequencies'!A:A,MATCH(A" &amp; ROW() &amp; ",'Frequencies'!A:A,0))","Frequencies"))</f>
        <v>Frequencies</v>
      </c>
      <c r="G257" s="2">
        <v>7</v>
      </c>
      <c r="H257" s="2"/>
      <c r="I257" s="2"/>
      <c r="J257" s="2"/>
      <c r="K257" s="2"/>
      <c r="L257" s="2"/>
    </row>
    <row r="258" spans="1:12" ht="49.95" customHeight="1" x14ac:dyDescent="0.3">
      <c r="A258" s="3" t="s">
        <v>630</v>
      </c>
      <c r="B258" s="2" t="s">
        <v>631</v>
      </c>
      <c r="C258" s="2"/>
      <c r="D258" s="2" t="s">
        <v>15</v>
      </c>
      <c r="E258" s="4" t="str">
        <f>IF(ISERROR("SAMPSTRAT"),"",HYPERLINK("#INDEX('Value Lookup'!A:A,MATCH(A" &amp; ROW() &amp; ",'Value Lookup'!A:A,0))","Value Lookup"))</f>
        <v>Value Lookup</v>
      </c>
      <c r="F258" s="4" t="str">
        <f>IF(ISERROR("SAMPSTRAT"),"",HYPERLINK("#INDEX('Frequencies'!A:A,MATCH(A" &amp; ROW() &amp; ",'Frequencies'!A:A,0))","Frequencies"))</f>
        <v>Frequencies</v>
      </c>
      <c r="G258" s="2">
        <v>8</v>
      </c>
      <c r="H258" s="2"/>
      <c r="I258" s="2"/>
      <c r="J258" s="2"/>
      <c r="K258" s="2"/>
      <c r="L258" s="2"/>
    </row>
    <row r="259" spans="1:12" ht="49.95" customHeight="1" x14ac:dyDescent="0.3">
      <c r="A259" s="3" t="s">
        <v>632</v>
      </c>
      <c r="B259" s="2" t="s">
        <v>633</v>
      </c>
      <c r="C259" s="2" t="s">
        <v>634</v>
      </c>
      <c r="D259" s="2" t="s">
        <v>15</v>
      </c>
      <c r="E259" s="4" t="str">
        <f>IF(ISERROR("SCHTRN1"),"",HYPERLINK("#INDEX('Value Lookup'!A:A,MATCH(A" &amp; ROW() &amp; ",'Value Lookup'!A:A,0))","Value Lookup"))</f>
        <v>Value Lookup</v>
      </c>
      <c r="F259" s="4" t="str">
        <f>IF(ISERROR("SCHTRN1"),"",HYPERLINK("#INDEX('Frequencies'!A:A,MATCH(A" &amp; ROW() &amp; ",'Frequencies'!A:A,0))","Frequencies"))</f>
        <v>Frequencies</v>
      </c>
      <c r="G259" s="2"/>
      <c r="H259" s="2">
        <v>61</v>
      </c>
      <c r="I259" s="2"/>
      <c r="J259" s="2"/>
      <c r="K259" s="2"/>
      <c r="L259" s="2"/>
    </row>
    <row r="260" spans="1:12" ht="49.95" customHeight="1" x14ac:dyDescent="0.3">
      <c r="A260" s="3" t="s">
        <v>635</v>
      </c>
      <c r="B260" s="2" t="s">
        <v>636</v>
      </c>
      <c r="C260" s="2" t="s">
        <v>637</v>
      </c>
      <c r="D260" s="2" t="s">
        <v>15</v>
      </c>
      <c r="E260" s="4" t="str">
        <f>IF(ISERROR("SCHTRN1O"),"",HYPERLINK("#INDEX('Value Lookup'!A:A,MATCH(A" &amp; ROW() &amp; ",'Value Lookup'!A:A,0))","Value Lookup"))</f>
        <v>Value Lookup</v>
      </c>
      <c r="F260" s="4" t="str">
        <f>IF(ISERROR("SCHTRN1O"),"",HYPERLINK("#INDEX('Frequencies'!A:A,MATCH(A" &amp; ROW() &amp; ",'Frequencies'!A:A,0))","Frequencies"))</f>
        <v>Frequencies</v>
      </c>
      <c r="G260" s="2"/>
      <c r="H260" s="2">
        <v>62</v>
      </c>
      <c r="I260" s="2"/>
      <c r="J260" s="2"/>
      <c r="K260" s="2"/>
      <c r="L260" s="2"/>
    </row>
    <row r="261" spans="1:12" ht="49.95" customHeight="1" x14ac:dyDescent="0.3">
      <c r="A261" s="3" t="s">
        <v>638</v>
      </c>
      <c r="B261" s="2" t="s">
        <v>639</v>
      </c>
      <c r="C261" s="2" t="s">
        <v>640</v>
      </c>
      <c r="D261" s="2" t="s">
        <v>15</v>
      </c>
      <c r="E261" s="4" t="str">
        <f>IF(ISERROR("SCHTRN2"),"",HYPERLINK("#INDEX('Value Lookup'!A:A,MATCH(A" &amp; ROW() &amp; ",'Value Lookup'!A:A,0))","Value Lookup"))</f>
        <v>Value Lookup</v>
      </c>
      <c r="F261" s="4" t="str">
        <f>IF(ISERROR("SCHTRN2"),"",HYPERLINK("#INDEX('Frequencies'!A:A,MATCH(A" &amp; ROW() &amp; ",'Frequencies'!A:A,0))","Frequencies"))</f>
        <v>Frequencies</v>
      </c>
      <c r="G261" s="2"/>
      <c r="H261" s="2">
        <v>63</v>
      </c>
      <c r="I261" s="2"/>
      <c r="J261" s="2"/>
      <c r="K261" s="2"/>
      <c r="L261" s="2"/>
    </row>
    <row r="262" spans="1:12" ht="49.95" customHeight="1" x14ac:dyDescent="0.3">
      <c r="A262" s="3" t="s">
        <v>641</v>
      </c>
      <c r="B262" s="2" t="s">
        <v>642</v>
      </c>
      <c r="C262" s="2" t="s">
        <v>643</v>
      </c>
      <c r="D262" s="2" t="s">
        <v>15</v>
      </c>
      <c r="E262" s="4" t="str">
        <f>IF(ISERROR("SCHTRN2O"),"",HYPERLINK("#INDEX('Value Lookup'!A:A,MATCH(A" &amp; ROW() &amp; ",'Value Lookup'!A:A,0))","Value Lookup"))</f>
        <v>Value Lookup</v>
      </c>
      <c r="F262" s="4" t="str">
        <f>IF(ISERROR("SCHTRN2O"),"",HYPERLINK("#INDEX('Frequencies'!A:A,MATCH(A" &amp; ROW() &amp; ",'Frequencies'!A:A,0))","Frequencies"))</f>
        <v>Frequencies</v>
      </c>
      <c r="G262" s="2"/>
      <c r="H262" s="2">
        <v>64</v>
      </c>
      <c r="I262" s="2"/>
      <c r="J262" s="2"/>
      <c r="K262" s="2"/>
      <c r="L262" s="2"/>
    </row>
    <row r="263" spans="1:12" ht="49.95" customHeight="1" x14ac:dyDescent="0.3">
      <c r="A263" s="3" t="s">
        <v>644</v>
      </c>
      <c r="B263" s="2" t="s">
        <v>645</v>
      </c>
      <c r="C263" s="2" t="s">
        <v>646</v>
      </c>
      <c r="D263" s="2" t="s">
        <v>15</v>
      </c>
      <c r="E263" s="4" t="str">
        <f>IF(ISERROR("SCHTYP"),"",HYPERLINK("#INDEX('Value Lookup'!A:A,MATCH(A" &amp; ROW() &amp; ",'Value Lookup'!A:A,0))","Value Lookup"))</f>
        <v>Value Lookup</v>
      </c>
      <c r="F263" s="4" t="str">
        <f>IF(ISERROR("SCHTYP"),"",HYPERLINK("#INDEX('Frequencies'!A:A,MATCH(A" &amp; ROW() &amp; ",'Frequencies'!A:A,0))","Frequencies"))</f>
        <v>Frequencies</v>
      </c>
      <c r="G263" s="2"/>
      <c r="H263" s="2">
        <v>22</v>
      </c>
      <c r="I263" s="2"/>
      <c r="J263" s="2"/>
      <c r="K263" s="2"/>
      <c r="L263" s="2"/>
    </row>
    <row r="264" spans="1:12" ht="49.95" customHeight="1" x14ac:dyDescent="0.3">
      <c r="A264" s="3" t="s">
        <v>647</v>
      </c>
      <c r="B264" s="2" t="s">
        <v>648</v>
      </c>
      <c r="C264" s="2"/>
      <c r="D264" s="2" t="s">
        <v>15</v>
      </c>
      <c r="E264" s="4" t="str">
        <f>IF(ISERROR("SCRESP"),"",HYPERLINK("#INDEX('Value Lookup'!A:A,MATCH(A" &amp; ROW() &amp; ",'Value Lookup'!A:A,0))","Value Lookup"))</f>
        <v>Value Lookup</v>
      </c>
      <c r="F264" s="4" t="str">
        <f>IF(ISERROR("SCRESP"),"",HYPERLINK("#INDEX('Frequencies'!A:A,MATCH(A" &amp; ROW() &amp; ",'Frequencies'!A:A,0))","Frequencies"))</f>
        <v>Frequencies</v>
      </c>
      <c r="G264" s="2">
        <v>84</v>
      </c>
      <c r="H264" s="2"/>
      <c r="I264" s="2"/>
      <c r="J264" s="2"/>
      <c r="K264" s="2"/>
      <c r="L264" s="2"/>
    </row>
    <row r="265" spans="1:12" ht="49.95" customHeight="1" x14ac:dyDescent="0.3">
      <c r="A265" s="3" t="s">
        <v>649</v>
      </c>
      <c r="B265" s="2" t="s">
        <v>650</v>
      </c>
      <c r="C265" s="2" t="s">
        <v>651</v>
      </c>
      <c r="D265" s="2" t="s">
        <v>15</v>
      </c>
      <c r="E265" s="4" t="str">
        <f>IF(ISERROR("SPHONE"),"",HYPERLINK("#INDEX('Value Lookup'!A:A,MATCH(A" &amp; ROW() &amp; ",'Value Lookup'!A:A,0))","Value Lookup"))</f>
        <v>Value Lookup</v>
      </c>
      <c r="F265" s="4" t="str">
        <f>IF(ISERROR("SPHONE"),"",HYPERLINK("#INDEX('Frequencies'!A:A,MATCH(A" &amp; ROW() &amp; ",'Frequencies'!A:A,0))","Frequencies"))</f>
        <v>Frequencies</v>
      </c>
      <c r="G265" s="2">
        <v>18</v>
      </c>
      <c r="H265" s="2"/>
      <c r="I265" s="2"/>
      <c r="J265" s="2"/>
      <c r="K265" s="2"/>
      <c r="L265" s="2"/>
    </row>
    <row r="266" spans="1:12" ht="49.95" customHeight="1" x14ac:dyDescent="0.3">
      <c r="A266" s="3" t="s">
        <v>652</v>
      </c>
      <c r="B266" s="2" t="s">
        <v>653</v>
      </c>
      <c r="C266" s="2"/>
      <c r="D266" s="2" t="s">
        <v>15</v>
      </c>
      <c r="E266" s="4" t="str">
        <f>IF(ISERROR("SPONSCHG"),"",HYPERLINK("#INDEX('Value Lookup'!A:A,MATCH(A" &amp; ROW() &amp; ",'Value Lookup'!A:A,0))","Value Lookup"))</f>
        <v>Value Lookup</v>
      </c>
      <c r="F266" s="4" t="str">
        <f>IF(ISERROR("SPONSCHG"),"",HYPERLINK("#INDEX('Frequencies'!A:A,MATCH(A" &amp; ROW() &amp; ",'Frequencies'!A:A,0))","Frequencies"))</f>
        <v>Frequencies</v>
      </c>
      <c r="G266" s="2">
        <v>107</v>
      </c>
      <c r="H266" s="2"/>
      <c r="I266" s="2"/>
      <c r="J266" s="2"/>
      <c r="K266" s="2"/>
      <c r="L266" s="2"/>
    </row>
    <row r="267" spans="1:12" ht="49.95" customHeight="1" x14ac:dyDescent="0.3">
      <c r="A267" s="3" t="s">
        <v>654</v>
      </c>
      <c r="B267" s="2" t="s">
        <v>655</v>
      </c>
      <c r="C267" s="2"/>
      <c r="D267" s="2" t="s">
        <v>15</v>
      </c>
      <c r="E267" s="4" t="str">
        <f>IF(ISERROR("SPONSOR"),"",HYPERLINK("#INDEX('Value Lookup'!A:A,MATCH(A" &amp; ROW() &amp; ",'Value Lookup'!A:A,0))","Value Lookup"))</f>
        <v>Value Lookup</v>
      </c>
      <c r="F267" s="4" t="str">
        <f>IF(ISERROR("SPONSOR"),"",HYPERLINK("#INDEX('Frequencies'!A:A,MATCH(A" &amp; ROW() &amp; ",'Frequencies'!A:A,0))","Frequencies"))</f>
        <v>Frequencies</v>
      </c>
      <c r="G267" s="2">
        <v>109</v>
      </c>
      <c r="H267" s="2"/>
      <c r="I267" s="2"/>
      <c r="J267" s="2"/>
      <c r="K267" s="2"/>
      <c r="L267" s="2"/>
    </row>
    <row r="268" spans="1:12" ht="49.95" customHeight="1" x14ac:dyDescent="0.3">
      <c r="A268" s="3" t="s">
        <v>656</v>
      </c>
      <c r="B268" s="2" t="s">
        <v>657</v>
      </c>
      <c r="C268" s="2"/>
      <c r="D268" s="2" t="s">
        <v>15</v>
      </c>
      <c r="E268" s="4" t="str">
        <f>IF(ISERROR("STATE"),"",HYPERLINK("#INDEX('Value Lookup'!A:A,MATCH(A" &amp; ROW() &amp; ",'Value Lookup'!A:A,0))","Value Lookup"))</f>
        <v>Value Lookup</v>
      </c>
      <c r="F268" s="4" t="str">
        <f>IF(ISERROR("STATE"),"",HYPERLINK("#INDEX('Frequencies'!A:A,MATCH(A" &amp; ROW() &amp; ",'Frequencies'!A:A,0))","Frequencies"))</f>
        <v>Frequencies</v>
      </c>
      <c r="G268" s="2"/>
      <c r="H268" s="2"/>
      <c r="I268" s="2"/>
      <c r="J268" s="2"/>
      <c r="K268" s="2">
        <v>10</v>
      </c>
      <c r="L268" s="2"/>
    </row>
    <row r="269" spans="1:12" ht="49.95" customHeight="1" x14ac:dyDescent="0.3">
      <c r="A269" s="3" t="s">
        <v>658</v>
      </c>
      <c r="B269" s="2" t="s">
        <v>659</v>
      </c>
      <c r="C269" s="2"/>
      <c r="D269" s="2" t="s">
        <v>15</v>
      </c>
      <c r="E269" s="4" t="str">
        <f>IF(ISERROR("STATEFIPS"),"",HYPERLINK("#INDEX('Value Lookup'!A:A,MATCH(A" &amp; ROW() &amp; ",'Value Lookup'!A:A,0))","Value Lookup"))</f>
        <v>Value Lookup</v>
      </c>
      <c r="F269" s="4" t="str">
        <f>IF(ISERROR("STATEFIPS"),"",HYPERLINK("#INDEX('Frequencies'!A:A,MATCH(A" &amp; ROW() &amp; ",'Frequencies'!A:A,0))","Frequencies"))</f>
        <v>Frequencies</v>
      </c>
      <c r="G269" s="2"/>
      <c r="H269" s="2"/>
      <c r="I269" s="2"/>
      <c r="J269" s="2"/>
      <c r="K269" s="2">
        <v>15</v>
      </c>
      <c r="L269" s="2"/>
    </row>
    <row r="270" spans="1:12" ht="49.95" customHeight="1" x14ac:dyDescent="0.3">
      <c r="A270" s="3" t="s">
        <v>660</v>
      </c>
      <c r="B270" s="2" t="s">
        <v>661</v>
      </c>
      <c r="C270" s="2"/>
      <c r="D270" s="2" t="s">
        <v>15</v>
      </c>
      <c r="E270" s="2" t="str">
        <f>IF(ISERROR("STREETADDR"),"","NA")</f>
        <v>NA</v>
      </c>
      <c r="F270" s="4" t="str">
        <f>IF(ISERROR("STREETADDR"),"",HYPERLINK("#INDEX('Frequencies'!A:A,MATCH(A" &amp; ROW() &amp; ",'Frequencies'!A:A,0))","Frequencies"))</f>
        <v>Frequencies</v>
      </c>
      <c r="G270" s="2"/>
      <c r="H270" s="2"/>
      <c r="I270" s="2"/>
      <c r="J270" s="2"/>
      <c r="K270" s="2">
        <v>8</v>
      </c>
      <c r="L270" s="2"/>
    </row>
    <row r="271" spans="1:12" ht="49.95" customHeight="1" x14ac:dyDescent="0.3">
      <c r="A271" s="3" t="s">
        <v>662</v>
      </c>
      <c r="B271" s="2" t="s">
        <v>663</v>
      </c>
      <c r="C271" s="2" t="s">
        <v>664</v>
      </c>
      <c r="D271" s="2" t="s">
        <v>15</v>
      </c>
      <c r="E271" s="2" t="str">
        <f>IF(ISERROR("STRTAMPM"),"","NA")</f>
        <v>NA</v>
      </c>
      <c r="F271" s="4" t="str">
        <f>IF(ISERROR("STRTAMPM"),"",HYPERLINK("#INDEX('Frequencies'!A:A,MATCH(A" &amp; ROW() &amp; ",'Frequencies'!A:A,0))","Frequencies"))</f>
        <v>Frequencies</v>
      </c>
      <c r="G271" s="2"/>
      <c r="H271" s="2"/>
      <c r="I271" s="2"/>
      <c r="J271" s="2">
        <v>12</v>
      </c>
      <c r="K271" s="2"/>
      <c r="L271" s="2"/>
    </row>
    <row r="272" spans="1:12" ht="49.95" customHeight="1" x14ac:dyDescent="0.3">
      <c r="A272" s="3" t="s">
        <v>665</v>
      </c>
      <c r="B272" s="2" t="s">
        <v>666</v>
      </c>
      <c r="C272" s="2" t="s">
        <v>664</v>
      </c>
      <c r="D272" s="2" t="s">
        <v>15</v>
      </c>
      <c r="E272" s="2" t="str">
        <f>IF(ISERROR("STRTHR"),"","NA")</f>
        <v>NA</v>
      </c>
      <c r="F272" s="4" t="str">
        <f>IF(ISERROR("STRTHR"),"",HYPERLINK("#INDEX('Frequencies'!A:A,MATCH(A" &amp; ROW() &amp; ",'Frequencies'!A:A,0))","Frequencies"))</f>
        <v>Frequencies</v>
      </c>
      <c r="G272" s="2"/>
      <c r="H272" s="2"/>
      <c r="I272" s="2"/>
      <c r="J272" s="2">
        <v>10</v>
      </c>
      <c r="K272" s="2"/>
      <c r="L272" s="2"/>
    </row>
    <row r="273" spans="1:12" ht="49.95" customHeight="1" x14ac:dyDescent="0.3">
      <c r="A273" s="3" t="s">
        <v>667</v>
      </c>
      <c r="B273" s="2" t="s">
        <v>668</v>
      </c>
      <c r="C273" s="2" t="s">
        <v>664</v>
      </c>
      <c r="D273" s="2" t="s">
        <v>15</v>
      </c>
      <c r="E273" s="2" t="str">
        <f>IF(ISERROR("STRTMIN"),"","NA")</f>
        <v>NA</v>
      </c>
      <c r="F273" s="4" t="str">
        <f>IF(ISERROR("STRTMIN"),"",HYPERLINK("#INDEX('Frequencies'!A:A,MATCH(A" &amp; ROW() &amp; ",'Frequencies'!A:A,0))","Frequencies"))</f>
        <v>Frequencies</v>
      </c>
      <c r="G273" s="2"/>
      <c r="H273" s="2"/>
      <c r="I273" s="2"/>
      <c r="J273" s="2">
        <v>11</v>
      </c>
      <c r="K273" s="2"/>
      <c r="L273" s="2"/>
    </row>
    <row r="274" spans="1:12" ht="49.95" customHeight="1" x14ac:dyDescent="0.3">
      <c r="A274" s="3" t="s">
        <v>669</v>
      </c>
      <c r="B274" s="2" t="s">
        <v>670</v>
      </c>
      <c r="C274" s="2" t="s">
        <v>664</v>
      </c>
      <c r="D274" s="2" t="s">
        <v>15</v>
      </c>
      <c r="E274" s="2" t="str">
        <f>IF(ISERROR("STRTTIME"),"","NA")</f>
        <v>NA</v>
      </c>
      <c r="F274" s="4" t="str">
        <f>IF(ISERROR("STRTTIME"),"",HYPERLINK("#INDEX('Frequencies'!A:A,MATCH(A" &amp; ROW() &amp; ",'Frequencies'!A:A,0))","Frequencies"))</f>
        <v>Frequencies</v>
      </c>
      <c r="G274" s="2"/>
      <c r="H274" s="2"/>
      <c r="I274" s="2"/>
      <c r="J274" s="2">
        <v>6</v>
      </c>
      <c r="K274" s="2"/>
      <c r="L274" s="2"/>
    </row>
    <row r="275" spans="1:12" ht="49.95" customHeight="1" x14ac:dyDescent="0.3">
      <c r="A275" s="3" t="s">
        <v>671</v>
      </c>
      <c r="B275" s="2" t="s">
        <v>672</v>
      </c>
      <c r="C275" s="2" t="s">
        <v>664</v>
      </c>
      <c r="D275" s="2" t="s">
        <v>15</v>
      </c>
      <c r="E275" s="2" t="str">
        <f>IF(ISERROR("STRTTIME17"),"","NA")</f>
        <v>NA</v>
      </c>
      <c r="F275" s="4" t="str">
        <f>IF(ISERROR("STRTTIME17"),"",HYPERLINK("#INDEX('Frequencies'!A:A,MATCH(A" &amp; ROW() &amp; ",'Frequencies'!A:A,0))","Frequencies"))</f>
        <v>Frequencies</v>
      </c>
      <c r="G275" s="2"/>
      <c r="H275" s="2"/>
      <c r="I275" s="2"/>
      <c r="J275" s="2">
        <v>8</v>
      </c>
      <c r="K275" s="2"/>
      <c r="L275" s="2"/>
    </row>
    <row r="276" spans="1:12" ht="49.95" customHeight="1" x14ac:dyDescent="0.3">
      <c r="A276" s="3" t="s">
        <v>673</v>
      </c>
      <c r="B276" s="2" t="s">
        <v>674</v>
      </c>
      <c r="C276" s="2" t="s">
        <v>675</v>
      </c>
      <c r="D276" s="2" t="s">
        <v>15</v>
      </c>
      <c r="E276" s="4" t="str">
        <f>IF(ISERROR("TAB"),"",HYPERLINK("#INDEX('Value Lookup'!A:A,MATCH(A" &amp; ROW() &amp; ",'Value Lookup'!A:A,0))","Value Lookup"))</f>
        <v>Value Lookup</v>
      </c>
      <c r="F276" s="4" t="str">
        <f>IF(ISERROR("TAB"),"",HYPERLINK("#INDEX('Frequencies'!A:A,MATCH(A" &amp; ROW() &amp; ",'Frequencies'!A:A,0))","Frequencies"))</f>
        <v>Frequencies</v>
      </c>
      <c r="G276" s="2">
        <v>19</v>
      </c>
      <c r="H276" s="2"/>
      <c r="I276" s="2"/>
      <c r="J276" s="2"/>
      <c r="K276" s="2"/>
      <c r="L276" s="2"/>
    </row>
    <row r="277" spans="1:12" ht="49.95" customHeight="1" x14ac:dyDescent="0.3">
      <c r="A277" s="3" t="s">
        <v>676</v>
      </c>
      <c r="B277" s="2" t="s">
        <v>677</v>
      </c>
      <c r="C277" s="2" t="s">
        <v>678</v>
      </c>
      <c r="D277" s="2" t="s">
        <v>15</v>
      </c>
      <c r="E277" s="4" t="str">
        <f>IF(ISERROR("TAXI"),"",HYPERLINK("#INDEX('Value Lookup'!A:A,MATCH(A" &amp; ROW() &amp; ",'Value Lookup'!A:A,0))","Value Lookup"))</f>
        <v>Value Lookup</v>
      </c>
      <c r="F277" s="4" t="str">
        <f>IF(ISERROR("TAXI"),"",HYPERLINK("#INDEX('Frequencies'!A:A,MATCH(A" &amp; ROW() &amp; ",'Frequencies'!A:A,0))","Frequencies"))</f>
        <v>Frequencies</v>
      </c>
      <c r="G277" s="2">
        <v>25</v>
      </c>
      <c r="H277" s="2"/>
      <c r="I277" s="2"/>
      <c r="J277" s="2"/>
      <c r="K277" s="2"/>
      <c r="L277" s="2"/>
    </row>
    <row r="278" spans="1:12" ht="49.95" customHeight="1" x14ac:dyDescent="0.3">
      <c r="A278" s="3" t="s">
        <v>679</v>
      </c>
      <c r="B278" s="2" t="s">
        <v>680</v>
      </c>
      <c r="C278" s="2"/>
      <c r="D278" s="2" t="s">
        <v>15</v>
      </c>
      <c r="E278" s="2" t="str">
        <f>IF(ISERROR("TDAYDAT2"),"","NA")</f>
        <v>NA</v>
      </c>
      <c r="F278" s="4" t="str">
        <f>IF(ISERROR("TDAYDAT2"),"",HYPERLINK("#INDEX('Frequencies'!A:A,MATCH(A" &amp; ROW() &amp; ",'Frequencies'!A:A,0))","Frequencies"))</f>
        <v>Frequencies</v>
      </c>
      <c r="G278" s="2">
        <v>2</v>
      </c>
      <c r="H278" s="2"/>
      <c r="I278" s="2"/>
      <c r="J278" s="2"/>
      <c r="K278" s="2"/>
      <c r="L278" s="2"/>
    </row>
    <row r="279" spans="1:12" ht="49.95" customHeight="1" x14ac:dyDescent="0.3">
      <c r="A279" s="3" t="s">
        <v>681</v>
      </c>
      <c r="B279" s="2" t="s">
        <v>682</v>
      </c>
      <c r="C279" s="2"/>
      <c r="D279" s="2" t="s">
        <v>15</v>
      </c>
      <c r="E279" s="2" t="str">
        <f>IF(ISERROR("TDAYDATE"),"","NA")</f>
        <v>NA</v>
      </c>
      <c r="F279" s="4" t="str">
        <f>IF(ISERROR("TDAYDATE"),"",HYPERLINK("#INDEX('Frequencies'!A:A,MATCH(A" &amp; ROW() &amp; ",'Frequencies'!A:A,0))","Frequencies"))</f>
        <v>Frequencies</v>
      </c>
      <c r="G279" s="2">
        <v>73</v>
      </c>
      <c r="H279" s="2"/>
      <c r="I279" s="2"/>
      <c r="J279" s="2"/>
      <c r="K279" s="2"/>
      <c r="L279" s="2"/>
    </row>
    <row r="280" spans="1:12" ht="49.95" customHeight="1" x14ac:dyDescent="0.3">
      <c r="A280" s="3" t="s">
        <v>683</v>
      </c>
      <c r="B280" s="2" t="s">
        <v>684</v>
      </c>
      <c r="C280" s="2"/>
      <c r="D280" s="2" t="s">
        <v>15</v>
      </c>
      <c r="E280" s="2" t="str">
        <f>IF(ISERROR("TDCASEID"),"","NA")</f>
        <v>NA</v>
      </c>
      <c r="F280" s="4" t="str">
        <f>IF(ISERROR("TDCASEID"),"",HYPERLINK("#INDEX('Frequencies'!A:A,MATCH(A" &amp; ROW() &amp; ",'Frequencies'!A:A,0))","Frequencies"))</f>
        <v>Frequencies</v>
      </c>
      <c r="G280" s="2"/>
      <c r="H280" s="2"/>
      <c r="I280" s="2"/>
      <c r="J280" s="2">
        <v>118</v>
      </c>
      <c r="K280" s="2"/>
      <c r="L280" s="2"/>
    </row>
    <row r="281" spans="1:12" ht="49.95" customHeight="1" x14ac:dyDescent="0.3">
      <c r="A281" s="3" t="s">
        <v>685</v>
      </c>
      <c r="B281" s="2" t="s">
        <v>686</v>
      </c>
      <c r="C281" s="2"/>
      <c r="D281" s="2" t="s">
        <v>15</v>
      </c>
      <c r="E281" s="4" t="str">
        <f>IF(ISERROR("TDDRIVER"),"",HYPERLINK("#INDEX('Value Lookup'!A:A,MATCH(A" &amp; ROW() &amp; ",'Value Lookup'!A:A,0))","Value Lookup"))</f>
        <v>Value Lookup</v>
      </c>
      <c r="F281" s="4" t="str">
        <f>IF(ISERROR("TDDRIVER"),"",HYPERLINK("#INDEX('Frequencies'!A:A,MATCH(A" &amp; ROW() &amp; ",'Frequencies'!A:A,0))","Frequencies"))</f>
        <v>Frequencies</v>
      </c>
      <c r="G281" s="2"/>
      <c r="H281" s="2">
        <v>143</v>
      </c>
      <c r="I281" s="2"/>
      <c r="J281" s="2"/>
      <c r="K281" s="2"/>
      <c r="L281" s="2"/>
    </row>
    <row r="282" spans="1:12" ht="49.95" customHeight="1" x14ac:dyDescent="0.3">
      <c r="A282" s="3" t="s">
        <v>687</v>
      </c>
      <c r="B282" s="2" t="s">
        <v>688</v>
      </c>
      <c r="C282" s="2"/>
      <c r="D282" s="2" t="s">
        <v>15</v>
      </c>
      <c r="E282" s="2" t="str">
        <f>IF(ISERROR("TDTRPNUM"),"","NA")</f>
        <v>NA</v>
      </c>
      <c r="F282" s="4" t="str">
        <f>IF(ISERROR("TDTRPNUM"),"",HYPERLINK("#INDEX('Frequencies'!A:A,MATCH(A" &amp; ROW() &amp; ",'Frequencies'!A:A,0))","Frequencies"))</f>
        <v>Frequencies</v>
      </c>
      <c r="G282" s="2"/>
      <c r="H282" s="2"/>
      <c r="I282" s="2"/>
      <c r="J282" s="2">
        <v>3</v>
      </c>
      <c r="K282" s="2"/>
      <c r="L282" s="2"/>
    </row>
    <row r="283" spans="1:12" ht="49.95" customHeight="1" x14ac:dyDescent="0.3">
      <c r="A283" s="3" t="s">
        <v>689</v>
      </c>
      <c r="B283" s="2" t="s">
        <v>690</v>
      </c>
      <c r="C283" s="2"/>
      <c r="D283" s="2" t="s">
        <v>15</v>
      </c>
      <c r="E283" s="4" t="str">
        <f>IF(ISERROR("TDWKND"),"",HYPERLINK("#INDEX('Value Lookup'!A:A,MATCH(A" &amp; ROW() &amp; ",'Value Lookup'!A:A,0))","Value Lookup"))</f>
        <v>Value Lookup</v>
      </c>
      <c r="F283" s="4" t="str">
        <f>IF(ISERROR("TDWKND"),"",HYPERLINK("#INDEX('Frequencies'!A:A,MATCH(A" &amp; ROW() &amp; ",'Frequencies'!A:A,0))","Frequencies"))</f>
        <v>Frequencies</v>
      </c>
      <c r="G283" s="2"/>
      <c r="H283" s="2"/>
      <c r="I283" s="2"/>
      <c r="J283" s="2">
        <v>49</v>
      </c>
      <c r="K283" s="2"/>
      <c r="L283" s="2"/>
    </row>
    <row r="284" spans="1:12" ht="49.95" customHeight="1" x14ac:dyDescent="0.3">
      <c r="A284" s="3" t="s">
        <v>691</v>
      </c>
      <c r="B284" s="2" t="s">
        <v>692</v>
      </c>
      <c r="C284" s="2" t="s">
        <v>693</v>
      </c>
      <c r="D284" s="2" t="s">
        <v>45</v>
      </c>
      <c r="E284" s="2" t="str">
        <f>IF(ISERROR("TIMETOWK"),"","Range: 0 - 600")</f>
        <v>Range: 0 - 600</v>
      </c>
      <c r="F284" s="4" t="str">
        <f>IF(ISERROR("TIMETOWK"),"",HYPERLINK("#INDEX('Frequencies'!A:A,MATCH(A" &amp; ROW() &amp; ",'Frequencies'!A:A,0))","Frequencies"))</f>
        <v>Frequencies</v>
      </c>
      <c r="G284" s="2"/>
      <c r="H284" s="2">
        <v>51</v>
      </c>
      <c r="I284" s="2"/>
      <c r="J284" s="2"/>
      <c r="K284" s="2"/>
      <c r="L284" s="2"/>
    </row>
    <row r="285" spans="1:12" ht="49.95" customHeight="1" x14ac:dyDescent="0.3">
      <c r="A285" s="3" t="s">
        <v>694</v>
      </c>
      <c r="B285" s="2" t="s">
        <v>695</v>
      </c>
      <c r="C285" s="2"/>
      <c r="D285" s="2" t="s">
        <v>15</v>
      </c>
      <c r="E285" s="2" t="str">
        <f>IF(ISERROR("TIMEZONE"),"","NA")</f>
        <v>NA</v>
      </c>
      <c r="F285" s="4" t="str">
        <f>IF(ISERROR("TIMEZONE"),"",HYPERLINK("#INDEX('Frequencies'!A:A,MATCH(A" &amp; ROW() &amp; ",'Frequencies'!A:A,0))","Frequencies"))</f>
        <v>Frequencies</v>
      </c>
      <c r="G285" s="2">
        <v>5</v>
      </c>
      <c r="H285" s="2"/>
      <c r="I285" s="2"/>
      <c r="J285" s="2"/>
      <c r="K285" s="2"/>
      <c r="L285" s="2"/>
    </row>
    <row r="286" spans="1:12" ht="49.95" customHeight="1" x14ac:dyDescent="0.3">
      <c r="A286" s="3" t="s">
        <v>696</v>
      </c>
      <c r="B286" s="2" t="s">
        <v>697</v>
      </c>
      <c r="C286" s="2" t="s">
        <v>698</v>
      </c>
      <c r="D286" s="2" t="s">
        <v>15</v>
      </c>
      <c r="E286" s="4" t="str">
        <f>IF(ISERROR("TOLLTAG"),"",HYPERLINK("#INDEX('Value Lookup'!A:A,MATCH(A" &amp; ROW() &amp; ",'Value Lookup'!A:A,0))","Value Lookup"))</f>
        <v>Value Lookup</v>
      </c>
      <c r="F286" s="4" t="str">
        <f>IF(ISERROR("TOLLTAG"),"",HYPERLINK("#INDEX('Frequencies'!A:A,MATCH(A" &amp; ROW() &amp; ",'Frequencies'!A:A,0))","Frequencies"))</f>
        <v>Frequencies</v>
      </c>
      <c r="G286" s="2">
        <v>37</v>
      </c>
      <c r="H286" s="2"/>
      <c r="I286" s="2"/>
      <c r="J286" s="2"/>
      <c r="K286" s="2"/>
      <c r="L286" s="2" t="s">
        <v>319</v>
      </c>
    </row>
    <row r="287" spans="1:12" ht="49.95" customHeight="1" x14ac:dyDescent="0.3">
      <c r="A287" s="3" t="s">
        <v>699</v>
      </c>
      <c r="B287" s="2" t="s">
        <v>700</v>
      </c>
      <c r="C287" s="2" t="s">
        <v>701</v>
      </c>
      <c r="D287" s="2" t="s">
        <v>15</v>
      </c>
      <c r="E287" s="4" t="str">
        <f>IF(ISERROR("TRACC1"),"",HYPERLINK("#INDEX('Value Lookup'!A:A,MATCH(A" &amp; ROW() &amp; ",'Value Lookup'!A:A,0))","Value Lookup"))</f>
        <v>Value Lookup</v>
      </c>
      <c r="F287" s="4" t="str">
        <f>IF(ISERROR("TRACC1"),"",HYPERLINK("#INDEX('Frequencies'!A:A,MATCH(A" &amp; ROW() &amp; ",'Frequencies'!A:A,0))","Frequencies"))</f>
        <v>Frequencies</v>
      </c>
      <c r="G287" s="2"/>
      <c r="H287" s="2"/>
      <c r="I287" s="2"/>
      <c r="J287" s="2">
        <v>55</v>
      </c>
      <c r="K287" s="2"/>
      <c r="L287" s="2"/>
    </row>
    <row r="288" spans="1:12" ht="49.95" customHeight="1" x14ac:dyDescent="0.3">
      <c r="A288" s="3" t="s">
        <v>702</v>
      </c>
      <c r="B288" s="2" t="s">
        <v>703</v>
      </c>
      <c r="C288" s="2" t="s">
        <v>701</v>
      </c>
      <c r="D288" s="2" t="s">
        <v>15</v>
      </c>
      <c r="E288" s="4" t="str">
        <f>IF(ISERROR("TRACC10"),"",HYPERLINK("#INDEX('Value Lookup'!A:A,MATCH(A" &amp; ROW() &amp; ",'Value Lookup'!A:A,0))","Value Lookup"))</f>
        <v>Value Lookup</v>
      </c>
      <c r="F288" s="4" t="str">
        <f>IF(ISERROR("TRACC10"),"",HYPERLINK("#INDEX('Frequencies'!A:A,MATCH(A" &amp; ROW() &amp; ",'Frequencies'!A:A,0))","Frequencies"))</f>
        <v>Frequencies</v>
      </c>
      <c r="G288" s="2"/>
      <c r="H288" s="2"/>
      <c r="I288" s="2"/>
      <c r="J288" s="2">
        <v>64</v>
      </c>
      <c r="K288" s="2"/>
      <c r="L288" s="2"/>
    </row>
    <row r="289" spans="1:12" ht="49.95" customHeight="1" x14ac:dyDescent="0.3">
      <c r="A289" s="3" t="s">
        <v>704</v>
      </c>
      <c r="B289" s="2" t="s">
        <v>705</v>
      </c>
      <c r="C289" s="2" t="s">
        <v>701</v>
      </c>
      <c r="D289" s="2" t="s">
        <v>15</v>
      </c>
      <c r="E289" s="4" t="str">
        <f>IF(ISERROR("TRACC11"),"",HYPERLINK("#INDEX('Value Lookup'!A:A,MATCH(A" &amp; ROW() &amp; ",'Value Lookup'!A:A,0))","Value Lookup"))</f>
        <v>Value Lookup</v>
      </c>
      <c r="F289" s="4" t="str">
        <f>IF(ISERROR("TRACC11"),"",HYPERLINK("#INDEX('Frequencies'!A:A,MATCH(A" &amp; ROW() &amp; ",'Frequencies'!A:A,0))","Frequencies"))</f>
        <v>Frequencies</v>
      </c>
      <c r="G289" s="2"/>
      <c r="H289" s="2"/>
      <c r="I289" s="2"/>
      <c r="J289" s="2">
        <v>65</v>
      </c>
      <c r="K289" s="2"/>
      <c r="L289" s="2"/>
    </row>
    <row r="290" spans="1:12" ht="49.95" customHeight="1" x14ac:dyDescent="0.3">
      <c r="A290" s="3" t="s">
        <v>706</v>
      </c>
      <c r="B290" s="2" t="s">
        <v>707</v>
      </c>
      <c r="C290" s="2" t="s">
        <v>701</v>
      </c>
      <c r="D290" s="2" t="s">
        <v>15</v>
      </c>
      <c r="E290" s="4" t="str">
        <f>IF(ISERROR("TRACC12"),"",HYPERLINK("#INDEX('Value Lookup'!A:A,MATCH(A" &amp; ROW() &amp; ",'Value Lookup'!A:A,0))","Value Lookup"))</f>
        <v>Value Lookup</v>
      </c>
      <c r="F290" s="4" t="str">
        <f>IF(ISERROR("TRACC12"),"",HYPERLINK("#INDEX('Frequencies'!A:A,MATCH(A" &amp; ROW() &amp; ",'Frequencies'!A:A,0))","Frequencies"))</f>
        <v>Frequencies</v>
      </c>
      <c r="G290" s="2"/>
      <c r="H290" s="2"/>
      <c r="I290" s="2"/>
      <c r="J290" s="2">
        <v>66</v>
      </c>
      <c r="K290" s="2"/>
      <c r="L290" s="2"/>
    </row>
    <row r="291" spans="1:12" ht="49.95" customHeight="1" x14ac:dyDescent="0.3">
      <c r="A291" s="3" t="s">
        <v>708</v>
      </c>
      <c r="B291" s="2" t="s">
        <v>709</v>
      </c>
      <c r="C291" s="2" t="s">
        <v>701</v>
      </c>
      <c r="D291" s="2" t="s">
        <v>15</v>
      </c>
      <c r="E291" s="4" t="str">
        <f>IF(ISERROR("TRACC13"),"",HYPERLINK("#INDEX('Value Lookup'!A:A,MATCH(A" &amp; ROW() &amp; ",'Value Lookup'!A:A,0))","Value Lookup"))</f>
        <v>Value Lookup</v>
      </c>
      <c r="F291" s="4" t="str">
        <f>IF(ISERROR("TRACC13"),"",HYPERLINK("#INDEX('Frequencies'!A:A,MATCH(A" &amp; ROW() &amp; ",'Frequencies'!A:A,0))","Frequencies"))</f>
        <v>Frequencies</v>
      </c>
      <c r="G291" s="2"/>
      <c r="H291" s="2"/>
      <c r="I291" s="2"/>
      <c r="J291" s="2">
        <v>67</v>
      </c>
      <c r="K291" s="2"/>
      <c r="L291" s="2"/>
    </row>
    <row r="292" spans="1:12" ht="49.95" customHeight="1" x14ac:dyDescent="0.3">
      <c r="A292" s="3" t="s">
        <v>710</v>
      </c>
      <c r="B292" s="2" t="s">
        <v>711</v>
      </c>
      <c r="C292" s="2" t="s">
        <v>701</v>
      </c>
      <c r="D292" s="2" t="s">
        <v>15</v>
      </c>
      <c r="E292" s="4" t="str">
        <f>IF(ISERROR("TRACC14"),"",HYPERLINK("#INDEX('Value Lookup'!A:A,MATCH(A" &amp; ROW() &amp; ",'Value Lookup'!A:A,0))","Value Lookup"))</f>
        <v>Value Lookup</v>
      </c>
      <c r="F292" s="4" t="str">
        <f>IF(ISERROR("TRACC14"),"",HYPERLINK("#INDEX('Frequencies'!A:A,MATCH(A" &amp; ROW() &amp; ",'Frequencies'!A:A,0))","Frequencies"))</f>
        <v>Frequencies</v>
      </c>
      <c r="G292" s="2"/>
      <c r="H292" s="2"/>
      <c r="I292" s="2"/>
      <c r="J292" s="2">
        <v>68</v>
      </c>
      <c r="K292" s="2"/>
      <c r="L292" s="2"/>
    </row>
    <row r="293" spans="1:12" ht="49.95" customHeight="1" x14ac:dyDescent="0.3">
      <c r="A293" s="3" t="s">
        <v>712</v>
      </c>
      <c r="B293" s="2" t="s">
        <v>713</v>
      </c>
      <c r="C293" s="2" t="s">
        <v>701</v>
      </c>
      <c r="D293" s="2" t="s">
        <v>15</v>
      </c>
      <c r="E293" s="4" t="str">
        <f>IF(ISERROR("TRACC15"),"",HYPERLINK("#INDEX('Value Lookup'!A:A,MATCH(A" &amp; ROW() &amp; ",'Value Lookup'!A:A,0))","Value Lookup"))</f>
        <v>Value Lookup</v>
      </c>
      <c r="F293" s="4" t="str">
        <f>IF(ISERROR("TRACC15"),"",HYPERLINK("#INDEX('Frequencies'!A:A,MATCH(A" &amp; ROW() &amp; ",'Frequencies'!A:A,0))","Frequencies"))</f>
        <v>Frequencies</v>
      </c>
      <c r="G293" s="2"/>
      <c r="H293" s="2"/>
      <c r="I293" s="2"/>
      <c r="J293" s="2">
        <v>69</v>
      </c>
      <c r="K293" s="2"/>
      <c r="L293" s="2"/>
    </row>
    <row r="294" spans="1:12" ht="49.95" customHeight="1" x14ac:dyDescent="0.3">
      <c r="A294" s="3" t="s">
        <v>714</v>
      </c>
      <c r="B294" s="2" t="s">
        <v>715</v>
      </c>
      <c r="C294" s="2" t="s">
        <v>701</v>
      </c>
      <c r="D294" s="2" t="s">
        <v>15</v>
      </c>
      <c r="E294" s="4" t="str">
        <f>IF(ISERROR("TRACC16"),"",HYPERLINK("#INDEX('Value Lookup'!A:A,MATCH(A" &amp; ROW() &amp; ",'Value Lookup'!A:A,0))","Value Lookup"))</f>
        <v>Value Lookup</v>
      </c>
      <c r="F294" s="4" t="str">
        <f>IF(ISERROR("TRACC16"),"",HYPERLINK("#INDEX('Frequencies'!A:A,MATCH(A" &amp; ROW() &amp; ",'Frequencies'!A:A,0))","Frequencies"))</f>
        <v>Frequencies</v>
      </c>
      <c r="G294" s="2"/>
      <c r="H294" s="2"/>
      <c r="I294" s="2"/>
      <c r="J294" s="2">
        <v>70</v>
      </c>
      <c r="K294" s="2"/>
      <c r="L294" s="2"/>
    </row>
    <row r="295" spans="1:12" ht="49.95" customHeight="1" x14ac:dyDescent="0.3">
      <c r="A295" s="3" t="s">
        <v>716</v>
      </c>
      <c r="B295" s="2" t="s">
        <v>717</v>
      </c>
      <c r="C295" s="2" t="s">
        <v>701</v>
      </c>
      <c r="D295" s="2" t="s">
        <v>15</v>
      </c>
      <c r="E295" s="4" t="str">
        <f>IF(ISERROR("TRACC17"),"",HYPERLINK("#INDEX('Value Lookup'!A:A,MATCH(A" &amp; ROW() &amp; ",'Value Lookup'!A:A,0))","Value Lookup"))</f>
        <v>Value Lookup</v>
      </c>
      <c r="F295" s="4" t="str">
        <f>IF(ISERROR("TRACC17"),"",HYPERLINK("#INDEX('Frequencies'!A:A,MATCH(A" &amp; ROW() &amp; ",'Frequencies'!A:A,0))","Frequencies"))</f>
        <v>Frequencies</v>
      </c>
      <c r="G295" s="2"/>
      <c r="H295" s="2"/>
      <c r="I295" s="2"/>
      <c r="J295" s="2">
        <v>71</v>
      </c>
      <c r="K295" s="2"/>
      <c r="L295" s="2"/>
    </row>
    <row r="296" spans="1:12" ht="49.95" customHeight="1" x14ac:dyDescent="0.3">
      <c r="A296" s="3" t="s">
        <v>718</v>
      </c>
      <c r="B296" s="2" t="s">
        <v>719</v>
      </c>
      <c r="C296" s="2" t="s">
        <v>701</v>
      </c>
      <c r="D296" s="2" t="s">
        <v>15</v>
      </c>
      <c r="E296" s="4" t="str">
        <f>IF(ISERROR("TRACC18"),"",HYPERLINK("#INDEX('Value Lookup'!A:A,MATCH(A" &amp; ROW() &amp; ",'Value Lookup'!A:A,0))","Value Lookup"))</f>
        <v>Value Lookup</v>
      </c>
      <c r="F296" s="4" t="str">
        <f>IF(ISERROR("TRACC18"),"",HYPERLINK("#INDEX('Frequencies'!A:A,MATCH(A" &amp; ROW() &amp; ",'Frequencies'!A:A,0))","Frequencies"))</f>
        <v>Frequencies</v>
      </c>
      <c r="G296" s="2"/>
      <c r="H296" s="2"/>
      <c r="I296" s="2"/>
      <c r="J296" s="2">
        <v>72</v>
      </c>
      <c r="K296" s="2"/>
      <c r="L296" s="2"/>
    </row>
    <row r="297" spans="1:12" ht="49.95" customHeight="1" x14ac:dyDescent="0.3">
      <c r="A297" s="3" t="s">
        <v>720</v>
      </c>
      <c r="B297" s="2" t="s">
        <v>721</v>
      </c>
      <c r="C297" s="2" t="s">
        <v>701</v>
      </c>
      <c r="D297" s="2" t="s">
        <v>15</v>
      </c>
      <c r="E297" s="4" t="str">
        <f>IF(ISERROR("TRACC19"),"",HYPERLINK("#INDEX('Value Lookup'!A:A,MATCH(A" &amp; ROW() &amp; ",'Value Lookup'!A:A,0))","Value Lookup"))</f>
        <v>Value Lookup</v>
      </c>
      <c r="F297" s="4" t="str">
        <f>IF(ISERROR("TRACC19"),"",HYPERLINK("#INDEX('Frequencies'!A:A,MATCH(A" &amp; ROW() &amp; ",'Frequencies'!A:A,0))","Frequencies"))</f>
        <v>Frequencies</v>
      </c>
      <c r="G297" s="2"/>
      <c r="H297" s="2"/>
      <c r="I297" s="2"/>
      <c r="J297" s="2">
        <v>73</v>
      </c>
      <c r="K297" s="2"/>
      <c r="L297" s="2"/>
    </row>
    <row r="298" spans="1:12" ht="49.95" customHeight="1" x14ac:dyDescent="0.3">
      <c r="A298" s="3" t="s">
        <v>722</v>
      </c>
      <c r="B298" s="2" t="s">
        <v>723</v>
      </c>
      <c r="C298" s="2" t="s">
        <v>701</v>
      </c>
      <c r="D298" s="2" t="s">
        <v>15</v>
      </c>
      <c r="E298" s="4" t="str">
        <f>IF(ISERROR("TRACC2"),"",HYPERLINK("#INDEX('Value Lookup'!A:A,MATCH(A" &amp; ROW() &amp; ",'Value Lookup'!A:A,0))","Value Lookup"))</f>
        <v>Value Lookup</v>
      </c>
      <c r="F298" s="4" t="str">
        <f>IF(ISERROR("TRACC2"),"",HYPERLINK("#INDEX('Frequencies'!A:A,MATCH(A" &amp; ROW() &amp; ",'Frequencies'!A:A,0))","Frequencies"))</f>
        <v>Frequencies</v>
      </c>
      <c r="G298" s="2"/>
      <c r="H298" s="2"/>
      <c r="I298" s="2"/>
      <c r="J298" s="2">
        <v>56</v>
      </c>
      <c r="K298" s="2"/>
      <c r="L298" s="2"/>
    </row>
    <row r="299" spans="1:12" ht="49.95" customHeight="1" x14ac:dyDescent="0.3">
      <c r="A299" s="3" t="s">
        <v>724</v>
      </c>
      <c r="B299" s="2" t="s">
        <v>725</v>
      </c>
      <c r="C299" s="2" t="s">
        <v>701</v>
      </c>
      <c r="D299" s="2" t="s">
        <v>15</v>
      </c>
      <c r="E299" s="4" t="str">
        <f>IF(ISERROR("TRACC20"),"",HYPERLINK("#INDEX('Value Lookup'!A:A,MATCH(A" &amp; ROW() &amp; ",'Value Lookup'!A:A,0))","Value Lookup"))</f>
        <v>Value Lookup</v>
      </c>
      <c r="F299" s="4" t="str">
        <f>IF(ISERROR("TRACC20"),"",HYPERLINK("#INDEX('Frequencies'!A:A,MATCH(A" &amp; ROW() &amp; ",'Frequencies'!A:A,0))","Frequencies"))</f>
        <v>Frequencies</v>
      </c>
      <c r="G299" s="2"/>
      <c r="H299" s="2"/>
      <c r="I299" s="2"/>
      <c r="J299" s="2">
        <v>74</v>
      </c>
      <c r="K299" s="2"/>
      <c r="L299" s="2"/>
    </row>
    <row r="300" spans="1:12" ht="49.95" customHeight="1" x14ac:dyDescent="0.3">
      <c r="A300" s="3" t="s">
        <v>726</v>
      </c>
      <c r="B300" s="2" t="s">
        <v>727</v>
      </c>
      <c r="C300" s="2" t="s">
        <v>701</v>
      </c>
      <c r="D300" s="2" t="s">
        <v>15</v>
      </c>
      <c r="E300" s="4" t="str">
        <f>IF(ISERROR("TRACC3"),"",HYPERLINK("#INDEX('Value Lookup'!A:A,MATCH(A" &amp; ROW() &amp; ",'Value Lookup'!A:A,0))","Value Lookup"))</f>
        <v>Value Lookup</v>
      </c>
      <c r="F300" s="4" t="str">
        <f>IF(ISERROR("TRACC3"),"",HYPERLINK("#INDEX('Frequencies'!A:A,MATCH(A" &amp; ROW() &amp; ",'Frequencies'!A:A,0))","Frequencies"))</f>
        <v>Frequencies</v>
      </c>
      <c r="G300" s="2"/>
      <c r="H300" s="2"/>
      <c r="I300" s="2"/>
      <c r="J300" s="2">
        <v>57</v>
      </c>
      <c r="K300" s="2"/>
      <c r="L300" s="2"/>
    </row>
    <row r="301" spans="1:12" ht="49.95" customHeight="1" x14ac:dyDescent="0.3">
      <c r="A301" s="3" t="s">
        <v>728</v>
      </c>
      <c r="B301" s="2" t="s">
        <v>729</v>
      </c>
      <c r="C301" s="2" t="s">
        <v>701</v>
      </c>
      <c r="D301" s="2" t="s">
        <v>15</v>
      </c>
      <c r="E301" s="4" t="str">
        <f>IF(ISERROR("TRACC4"),"",HYPERLINK("#INDEX('Value Lookup'!A:A,MATCH(A" &amp; ROW() &amp; ",'Value Lookup'!A:A,0))","Value Lookup"))</f>
        <v>Value Lookup</v>
      </c>
      <c r="F301" s="4" t="str">
        <f>IF(ISERROR("TRACC4"),"",HYPERLINK("#INDEX('Frequencies'!A:A,MATCH(A" &amp; ROW() &amp; ",'Frequencies'!A:A,0))","Frequencies"))</f>
        <v>Frequencies</v>
      </c>
      <c r="G301" s="2"/>
      <c r="H301" s="2"/>
      <c r="I301" s="2"/>
      <c r="J301" s="2">
        <v>58</v>
      </c>
      <c r="K301" s="2"/>
      <c r="L301" s="2"/>
    </row>
    <row r="302" spans="1:12" ht="49.95" customHeight="1" x14ac:dyDescent="0.3">
      <c r="A302" s="3" t="s">
        <v>730</v>
      </c>
      <c r="B302" s="2" t="s">
        <v>731</v>
      </c>
      <c r="C302" s="2" t="s">
        <v>701</v>
      </c>
      <c r="D302" s="2" t="s">
        <v>15</v>
      </c>
      <c r="E302" s="4" t="str">
        <f>IF(ISERROR("TRACC5"),"",HYPERLINK("#INDEX('Value Lookup'!A:A,MATCH(A" &amp; ROW() &amp; ",'Value Lookup'!A:A,0))","Value Lookup"))</f>
        <v>Value Lookup</v>
      </c>
      <c r="F302" s="4" t="str">
        <f>IF(ISERROR("TRACC5"),"",HYPERLINK("#INDEX('Frequencies'!A:A,MATCH(A" &amp; ROW() &amp; ",'Frequencies'!A:A,0))","Frequencies"))</f>
        <v>Frequencies</v>
      </c>
      <c r="G302" s="2"/>
      <c r="H302" s="2"/>
      <c r="I302" s="2"/>
      <c r="J302" s="2">
        <v>59</v>
      </c>
      <c r="K302" s="2"/>
      <c r="L302" s="2"/>
    </row>
    <row r="303" spans="1:12" ht="49.95" customHeight="1" x14ac:dyDescent="0.3">
      <c r="A303" s="3" t="s">
        <v>732</v>
      </c>
      <c r="B303" s="2" t="s">
        <v>733</v>
      </c>
      <c r="C303" s="2" t="s">
        <v>701</v>
      </c>
      <c r="D303" s="2" t="s">
        <v>15</v>
      </c>
      <c r="E303" s="4" t="str">
        <f>IF(ISERROR("TRACC6"),"",HYPERLINK("#INDEX('Value Lookup'!A:A,MATCH(A" &amp; ROW() &amp; ",'Value Lookup'!A:A,0))","Value Lookup"))</f>
        <v>Value Lookup</v>
      </c>
      <c r="F303" s="4" t="str">
        <f>IF(ISERROR("TRACC6"),"",HYPERLINK("#INDEX('Frequencies'!A:A,MATCH(A" &amp; ROW() &amp; ",'Frequencies'!A:A,0))","Frequencies"))</f>
        <v>Frequencies</v>
      </c>
      <c r="G303" s="2"/>
      <c r="H303" s="2"/>
      <c r="I303" s="2"/>
      <c r="J303" s="2">
        <v>60</v>
      </c>
      <c r="K303" s="2"/>
      <c r="L303" s="2"/>
    </row>
    <row r="304" spans="1:12" ht="49.95" customHeight="1" x14ac:dyDescent="0.3">
      <c r="A304" s="3" t="s">
        <v>734</v>
      </c>
      <c r="B304" s="2" t="s">
        <v>735</v>
      </c>
      <c r="C304" s="2" t="s">
        <v>701</v>
      </c>
      <c r="D304" s="2" t="s">
        <v>15</v>
      </c>
      <c r="E304" s="4" t="str">
        <f>IF(ISERROR("TRACC7"),"",HYPERLINK("#INDEX('Value Lookup'!A:A,MATCH(A" &amp; ROW() &amp; ",'Value Lookup'!A:A,0))","Value Lookup"))</f>
        <v>Value Lookup</v>
      </c>
      <c r="F304" s="4" t="str">
        <f>IF(ISERROR("TRACC7"),"",HYPERLINK("#INDEX('Frequencies'!A:A,MATCH(A" &amp; ROW() &amp; ",'Frequencies'!A:A,0))","Frequencies"))</f>
        <v>Frequencies</v>
      </c>
      <c r="G304" s="2"/>
      <c r="H304" s="2"/>
      <c r="I304" s="2"/>
      <c r="J304" s="2">
        <v>61</v>
      </c>
      <c r="K304" s="2"/>
      <c r="L304" s="2"/>
    </row>
    <row r="305" spans="1:12" ht="49.95" customHeight="1" x14ac:dyDescent="0.3">
      <c r="A305" s="3" t="s">
        <v>736</v>
      </c>
      <c r="B305" s="2" t="s">
        <v>737</v>
      </c>
      <c r="C305" s="2" t="s">
        <v>701</v>
      </c>
      <c r="D305" s="2" t="s">
        <v>15</v>
      </c>
      <c r="E305" s="4" t="str">
        <f>IF(ISERROR("TRACC8"),"",HYPERLINK("#INDEX('Value Lookup'!A:A,MATCH(A" &amp; ROW() &amp; ",'Value Lookup'!A:A,0))","Value Lookup"))</f>
        <v>Value Lookup</v>
      </c>
      <c r="F305" s="4" t="str">
        <f>IF(ISERROR("TRACC8"),"",HYPERLINK("#INDEX('Frequencies'!A:A,MATCH(A" &amp; ROW() &amp; ",'Frequencies'!A:A,0))","Frequencies"))</f>
        <v>Frequencies</v>
      </c>
      <c r="G305" s="2"/>
      <c r="H305" s="2"/>
      <c r="I305" s="2"/>
      <c r="J305" s="2">
        <v>62</v>
      </c>
      <c r="K305" s="2"/>
      <c r="L305" s="2"/>
    </row>
    <row r="306" spans="1:12" ht="49.95" customHeight="1" x14ac:dyDescent="0.3">
      <c r="A306" s="3" t="s">
        <v>738</v>
      </c>
      <c r="B306" s="2" t="s">
        <v>739</v>
      </c>
      <c r="C306" s="2" t="s">
        <v>701</v>
      </c>
      <c r="D306" s="2" t="s">
        <v>15</v>
      </c>
      <c r="E306" s="4" t="str">
        <f>IF(ISERROR("TRACC9"),"",HYPERLINK("#INDEX('Value Lookup'!A:A,MATCH(A" &amp; ROW() &amp; ",'Value Lookup'!A:A,0))","Value Lookup"))</f>
        <v>Value Lookup</v>
      </c>
      <c r="F306" s="4" t="str">
        <f>IF(ISERROR("TRACC9"),"",HYPERLINK("#INDEX('Frequencies'!A:A,MATCH(A" &amp; ROW() &amp; ",'Frequencies'!A:A,0))","Frequencies"))</f>
        <v>Frequencies</v>
      </c>
      <c r="G306" s="2"/>
      <c r="H306" s="2"/>
      <c r="I306" s="2"/>
      <c r="J306" s="2">
        <v>63</v>
      </c>
      <c r="K306" s="2"/>
      <c r="L306" s="2"/>
    </row>
    <row r="307" spans="1:12" ht="49.95" customHeight="1" x14ac:dyDescent="0.3">
      <c r="A307" s="3" t="s">
        <v>740</v>
      </c>
      <c r="B307" s="2" t="s">
        <v>741</v>
      </c>
      <c r="C307" s="2" t="s">
        <v>701</v>
      </c>
      <c r="D307" s="2" t="s">
        <v>15</v>
      </c>
      <c r="E307" s="4" t="str">
        <f>IF(ISERROR("TRACCDK"),"",HYPERLINK("#INDEX('Value Lookup'!A:A,MATCH(A" &amp; ROW() &amp; ",'Value Lookup'!A:A,0))","Value Lookup"))</f>
        <v>Value Lookup</v>
      </c>
      <c r="F307" s="4" t="str">
        <f>IF(ISERROR("TRACCDK"),"",HYPERLINK("#INDEX('Frequencies'!A:A,MATCH(A" &amp; ROW() &amp; ",'Frequencies'!A:A,0))","Frequencies"))</f>
        <v>Frequencies</v>
      </c>
      <c r="G307" s="2"/>
      <c r="H307" s="2"/>
      <c r="I307" s="2"/>
      <c r="J307" s="2">
        <v>76</v>
      </c>
      <c r="K307" s="2"/>
      <c r="L307" s="2"/>
    </row>
    <row r="308" spans="1:12" ht="49.95" customHeight="1" x14ac:dyDescent="0.3">
      <c r="A308" s="3" t="s">
        <v>742</v>
      </c>
      <c r="B308" s="2" t="s">
        <v>743</v>
      </c>
      <c r="C308" s="2" t="s">
        <v>701</v>
      </c>
      <c r="D308" s="2" t="s">
        <v>15</v>
      </c>
      <c r="E308" s="4" t="str">
        <f>IF(ISERROR("TRACC_O"),"",HYPERLINK("#INDEX('Value Lookup'!A:A,MATCH(A" &amp; ROW() &amp; ",'Value Lookup'!A:A,0))","Value Lookup"))</f>
        <v>Value Lookup</v>
      </c>
      <c r="F308" s="4" t="str">
        <f>IF(ISERROR("TRACC_O"),"",HYPERLINK("#INDEX('Frequencies'!A:A,MATCH(A" &amp; ROW() &amp; ",'Frequencies'!A:A,0))","Frequencies"))</f>
        <v>Frequencies</v>
      </c>
      <c r="G308" s="2"/>
      <c r="H308" s="2"/>
      <c r="I308" s="2"/>
      <c r="J308" s="2">
        <v>75</v>
      </c>
      <c r="K308" s="2"/>
      <c r="L308" s="2"/>
    </row>
    <row r="309" spans="1:12" ht="49.95" customHeight="1" x14ac:dyDescent="0.3">
      <c r="A309" s="3" t="s">
        <v>744</v>
      </c>
      <c r="B309" s="2" t="s">
        <v>745</v>
      </c>
      <c r="C309" s="2" t="s">
        <v>701</v>
      </c>
      <c r="D309" s="2" t="s">
        <v>15</v>
      </c>
      <c r="E309" s="4" t="str">
        <f>IF(ISERROR("TRACCRF"),"",HYPERLINK("#INDEX('Value Lookup'!A:A,MATCH(A" &amp; ROW() &amp; ",'Value Lookup'!A:A,0))","Value Lookup"))</f>
        <v>Value Lookup</v>
      </c>
      <c r="F309" s="4" t="str">
        <f>IF(ISERROR("TRACCRF"),"",HYPERLINK("#INDEX('Frequencies'!A:A,MATCH(A" &amp; ROW() &amp; ",'Frequencies'!A:A,0))","Frequencies"))</f>
        <v>Frequencies</v>
      </c>
      <c r="G309" s="2"/>
      <c r="H309" s="2"/>
      <c r="I309" s="2"/>
      <c r="J309" s="2">
        <v>77</v>
      </c>
      <c r="K309" s="2"/>
      <c r="L309" s="2"/>
    </row>
    <row r="310" spans="1:12" ht="49.95" customHeight="1" x14ac:dyDescent="0.3">
      <c r="A310" s="3" t="s">
        <v>746</v>
      </c>
      <c r="B310" s="2" t="s">
        <v>747</v>
      </c>
      <c r="C310" s="2" t="s">
        <v>748</v>
      </c>
      <c r="D310" s="2" t="s">
        <v>45</v>
      </c>
      <c r="E310" s="2" t="str">
        <f>IF(ISERROR("TRACCTM"),"","Range: 0 - 300")</f>
        <v>Range: 0 - 300</v>
      </c>
      <c r="F310" s="4" t="str">
        <f>IF(ISERROR("TRACCTM"),"",HYPERLINK("#INDEX('Frequencies'!A:A,MATCH(A" &amp; ROW() &amp; ",'Frequencies'!A:A,0))","Frequencies"))</f>
        <v>Frequencies</v>
      </c>
      <c r="G310" s="2"/>
      <c r="H310" s="2"/>
      <c r="I310" s="2"/>
      <c r="J310" s="2">
        <v>30</v>
      </c>
      <c r="K310" s="2"/>
      <c r="L310" s="2"/>
    </row>
    <row r="311" spans="1:12" ht="49.95" customHeight="1" x14ac:dyDescent="0.3">
      <c r="A311" s="3" t="s">
        <v>749</v>
      </c>
      <c r="B311" s="2" t="s">
        <v>750</v>
      </c>
      <c r="C311" s="2"/>
      <c r="D311" s="2" t="s">
        <v>15</v>
      </c>
      <c r="E311" s="4" t="str">
        <f>IF(ISERROR("TRACTFIPS"),"",HYPERLINK("#INDEX('Value Lookup'!A:A,MATCH(A" &amp; ROW() &amp; ",'Value Lookup'!A:A,0))","Value Lookup"))</f>
        <v>Value Lookup</v>
      </c>
      <c r="F311" s="4" t="str">
        <f>IF(ISERROR("TRACTFIPS"),"",HYPERLINK("#INDEX('Frequencies'!A:A,MATCH(A" &amp; ROW() &amp; ",'Frequencies'!A:A,0))","Frequencies"))</f>
        <v>Frequencies</v>
      </c>
      <c r="G311" s="2"/>
      <c r="H311" s="2"/>
      <c r="I311" s="2"/>
      <c r="J311" s="2"/>
      <c r="K311" s="2">
        <v>17</v>
      </c>
      <c r="L311" s="2"/>
    </row>
    <row r="312" spans="1:12" ht="49.95" customHeight="1" x14ac:dyDescent="0.3">
      <c r="A312" s="3" t="s">
        <v>751</v>
      </c>
      <c r="B312" s="2" t="s">
        <v>752</v>
      </c>
      <c r="C312" s="2" t="s">
        <v>753</v>
      </c>
      <c r="D312" s="2" t="s">
        <v>15</v>
      </c>
      <c r="E312" s="4" t="str">
        <f>IF(ISERROR("TRAIN"),"",HYPERLINK("#INDEX('Value Lookup'!A:A,MATCH(A" &amp; ROW() &amp; ",'Value Lookup'!A:A,0))","Value Lookup"))</f>
        <v>Value Lookup</v>
      </c>
      <c r="F312" s="4" t="str">
        <f>IF(ISERROR("TRAIN"),"",HYPERLINK("#INDEX('Frequencies'!A:A,MATCH(A" &amp; ROW() &amp; ",'Frequencies'!A:A,0))","Frequencies"))</f>
        <v>Frequencies</v>
      </c>
      <c r="G312" s="2">
        <v>27</v>
      </c>
      <c r="H312" s="2"/>
      <c r="I312" s="2"/>
      <c r="J312" s="2"/>
      <c r="K312" s="2"/>
      <c r="L312" s="2"/>
    </row>
    <row r="313" spans="1:12" ht="49.95" customHeight="1" x14ac:dyDescent="0.3">
      <c r="A313" s="3" t="s">
        <v>754</v>
      </c>
      <c r="B313" s="2" t="s">
        <v>755</v>
      </c>
      <c r="C313" s="2"/>
      <c r="D313" s="2" t="s">
        <v>15</v>
      </c>
      <c r="E313" s="4" t="str">
        <f>IF(ISERROR("TRAVDAY"),"",HYPERLINK("#INDEX('Value Lookup'!A:A,MATCH(A" &amp; ROW() &amp; ",'Value Lookup'!A:A,0))","Value Lookup"))</f>
        <v>Value Lookup</v>
      </c>
      <c r="F313" s="4" t="str">
        <f>IF(ISERROR("TRAVDAY"),"",HYPERLINK("#INDEX('Frequencies'!A:A,MATCH(A" &amp; ROW() &amp; ",'Frequencies'!A:A,0))","Frequencies"))</f>
        <v>Frequencies</v>
      </c>
      <c r="G313" s="2">
        <v>4</v>
      </c>
      <c r="H313" s="2"/>
      <c r="I313" s="2"/>
      <c r="J313" s="2"/>
      <c r="K313" s="2"/>
      <c r="L313" s="2"/>
    </row>
    <row r="314" spans="1:12" ht="49.95" customHeight="1" x14ac:dyDescent="0.3">
      <c r="A314" s="3" t="s">
        <v>756</v>
      </c>
      <c r="B314" s="2" t="s">
        <v>757</v>
      </c>
      <c r="C314" s="2" t="s">
        <v>758</v>
      </c>
      <c r="D314" s="2" t="s">
        <v>15</v>
      </c>
      <c r="E314" s="4" t="str">
        <f>IF(ISERROR("TREGR1"),"",HYPERLINK("#INDEX('Value Lookup'!A:A,MATCH(A" &amp; ROW() &amp; ",'Value Lookup'!A:A,0))","Value Lookup"))</f>
        <v>Value Lookup</v>
      </c>
      <c r="F314" s="4" t="str">
        <f>IF(ISERROR("TREGR1"),"",HYPERLINK("#INDEX('Frequencies'!A:A,MATCH(A" &amp; ROW() &amp; ",'Frequencies'!A:A,0))","Frequencies"))</f>
        <v>Frequencies</v>
      </c>
      <c r="G314" s="2"/>
      <c r="H314" s="2"/>
      <c r="I314" s="2"/>
      <c r="J314" s="2">
        <v>79</v>
      </c>
      <c r="K314" s="2"/>
      <c r="L314" s="2"/>
    </row>
    <row r="315" spans="1:12" ht="49.95" customHeight="1" x14ac:dyDescent="0.3">
      <c r="A315" s="3" t="s">
        <v>759</v>
      </c>
      <c r="B315" s="2" t="s">
        <v>760</v>
      </c>
      <c r="C315" s="2" t="s">
        <v>758</v>
      </c>
      <c r="D315" s="2" t="s">
        <v>15</v>
      </c>
      <c r="E315" s="4" t="str">
        <f>IF(ISERROR("TREGR10"),"",HYPERLINK("#INDEX('Value Lookup'!A:A,MATCH(A" &amp; ROW() &amp; ",'Value Lookup'!A:A,0))","Value Lookup"))</f>
        <v>Value Lookup</v>
      </c>
      <c r="F315" s="4" t="str">
        <f>IF(ISERROR("TREGR10"),"",HYPERLINK("#INDEX('Frequencies'!A:A,MATCH(A" &amp; ROW() &amp; ",'Frequencies'!A:A,0))","Frequencies"))</f>
        <v>Frequencies</v>
      </c>
      <c r="G315" s="2"/>
      <c r="H315" s="2"/>
      <c r="I315" s="2"/>
      <c r="J315" s="2">
        <v>88</v>
      </c>
      <c r="K315" s="2"/>
      <c r="L315" s="2"/>
    </row>
    <row r="316" spans="1:12" ht="49.95" customHeight="1" x14ac:dyDescent="0.3">
      <c r="A316" s="3" t="s">
        <v>761</v>
      </c>
      <c r="B316" s="2" t="s">
        <v>762</v>
      </c>
      <c r="C316" s="2" t="s">
        <v>758</v>
      </c>
      <c r="D316" s="2" t="s">
        <v>15</v>
      </c>
      <c r="E316" s="4" t="str">
        <f>IF(ISERROR("TREGR11"),"",HYPERLINK("#INDEX('Value Lookup'!A:A,MATCH(A" &amp; ROW() &amp; ",'Value Lookup'!A:A,0))","Value Lookup"))</f>
        <v>Value Lookup</v>
      </c>
      <c r="F316" s="4" t="str">
        <f>IF(ISERROR("TREGR11"),"",HYPERLINK("#INDEX('Frequencies'!A:A,MATCH(A" &amp; ROW() &amp; ",'Frequencies'!A:A,0))","Frequencies"))</f>
        <v>Frequencies</v>
      </c>
      <c r="G316" s="2"/>
      <c r="H316" s="2"/>
      <c r="I316" s="2"/>
      <c r="J316" s="2">
        <v>89</v>
      </c>
      <c r="K316" s="2"/>
      <c r="L316" s="2"/>
    </row>
    <row r="317" spans="1:12" ht="49.95" customHeight="1" x14ac:dyDescent="0.3">
      <c r="A317" s="3" t="s">
        <v>763</v>
      </c>
      <c r="B317" s="2" t="s">
        <v>764</v>
      </c>
      <c r="C317" s="2" t="s">
        <v>758</v>
      </c>
      <c r="D317" s="2" t="s">
        <v>15</v>
      </c>
      <c r="E317" s="4" t="str">
        <f>IF(ISERROR("TREGR12"),"",HYPERLINK("#INDEX('Value Lookup'!A:A,MATCH(A" &amp; ROW() &amp; ",'Value Lookup'!A:A,0))","Value Lookup"))</f>
        <v>Value Lookup</v>
      </c>
      <c r="F317" s="4" t="str">
        <f>IF(ISERROR("TREGR12"),"",HYPERLINK("#INDEX('Frequencies'!A:A,MATCH(A" &amp; ROW() &amp; ",'Frequencies'!A:A,0))","Frequencies"))</f>
        <v>Frequencies</v>
      </c>
      <c r="G317" s="2"/>
      <c r="H317" s="2"/>
      <c r="I317" s="2"/>
      <c r="J317" s="2">
        <v>90</v>
      </c>
      <c r="K317" s="2"/>
      <c r="L317" s="2"/>
    </row>
    <row r="318" spans="1:12" ht="49.95" customHeight="1" x14ac:dyDescent="0.3">
      <c r="A318" s="3" t="s">
        <v>765</v>
      </c>
      <c r="B318" s="2" t="s">
        <v>766</v>
      </c>
      <c r="C318" s="2" t="s">
        <v>758</v>
      </c>
      <c r="D318" s="2" t="s">
        <v>15</v>
      </c>
      <c r="E318" s="4" t="str">
        <f>IF(ISERROR("TREGR13"),"",HYPERLINK("#INDEX('Value Lookup'!A:A,MATCH(A" &amp; ROW() &amp; ",'Value Lookup'!A:A,0))","Value Lookup"))</f>
        <v>Value Lookup</v>
      </c>
      <c r="F318" s="4" t="str">
        <f>IF(ISERROR("TREGR13"),"",HYPERLINK("#INDEX('Frequencies'!A:A,MATCH(A" &amp; ROW() &amp; ",'Frequencies'!A:A,0))","Frequencies"))</f>
        <v>Frequencies</v>
      </c>
      <c r="G318" s="2"/>
      <c r="H318" s="2"/>
      <c r="I318" s="2"/>
      <c r="J318" s="2">
        <v>91</v>
      </c>
      <c r="K318" s="2"/>
      <c r="L318" s="2"/>
    </row>
    <row r="319" spans="1:12" ht="49.95" customHeight="1" x14ac:dyDescent="0.3">
      <c r="A319" s="3" t="s">
        <v>767</v>
      </c>
      <c r="B319" s="2" t="s">
        <v>768</v>
      </c>
      <c r="C319" s="2" t="s">
        <v>758</v>
      </c>
      <c r="D319" s="2" t="s">
        <v>15</v>
      </c>
      <c r="E319" s="4" t="str">
        <f>IF(ISERROR("TREGR14"),"",HYPERLINK("#INDEX('Value Lookup'!A:A,MATCH(A" &amp; ROW() &amp; ",'Value Lookup'!A:A,0))","Value Lookup"))</f>
        <v>Value Lookup</v>
      </c>
      <c r="F319" s="4" t="str">
        <f>IF(ISERROR("TREGR14"),"",HYPERLINK("#INDEX('Frequencies'!A:A,MATCH(A" &amp; ROW() &amp; ",'Frequencies'!A:A,0))","Frequencies"))</f>
        <v>Frequencies</v>
      </c>
      <c r="G319" s="2"/>
      <c r="H319" s="2"/>
      <c r="I319" s="2"/>
      <c r="J319" s="2">
        <v>92</v>
      </c>
      <c r="K319" s="2"/>
      <c r="L319" s="2"/>
    </row>
    <row r="320" spans="1:12" ht="49.95" customHeight="1" x14ac:dyDescent="0.3">
      <c r="A320" s="3" t="s">
        <v>769</v>
      </c>
      <c r="B320" s="2" t="s">
        <v>770</v>
      </c>
      <c r="C320" s="2" t="s">
        <v>758</v>
      </c>
      <c r="D320" s="2" t="s">
        <v>15</v>
      </c>
      <c r="E320" s="4" t="str">
        <f>IF(ISERROR("TREGR15"),"",HYPERLINK("#INDEX('Value Lookup'!A:A,MATCH(A" &amp; ROW() &amp; ",'Value Lookup'!A:A,0))","Value Lookup"))</f>
        <v>Value Lookup</v>
      </c>
      <c r="F320" s="4" t="str">
        <f>IF(ISERROR("TREGR15"),"",HYPERLINK("#INDEX('Frequencies'!A:A,MATCH(A" &amp; ROW() &amp; ",'Frequencies'!A:A,0))","Frequencies"))</f>
        <v>Frequencies</v>
      </c>
      <c r="G320" s="2"/>
      <c r="H320" s="2"/>
      <c r="I320" s="2"/>
      <c r="J320" s="2">
        <v>93</v>
      </c>
      <c r="K320" s="2"/>
      <c r="L320" s="2"/>
    </row>
    <row r="321" spans="1:12" ht="49.95" customHeight="1" x14ac:dyDescent="0.3">
      <c r="A321" s="3" t="s">
        <v>771</v>
      </c>
      <c r="B321" s="2" t="s">
        <v>772</v>
      </c>
      <c r="C321" s="2" t="s">
        <v>758</v>
      </c>
      <c r="D321" s="2" t="s">
        <v>15</v>
      </c>
      <c r="E321" s="4" t="str">
        <f>IF(ISERROR("TREGR16"),"",HYPERLINK("#INDEX('Value Lookup'!A:A,MATCH(A" &amp; ROW() &amp; ",'Value Lookup'!A:A,0))","Value Lookup"))</f>
        <v>Value Lookup</v>
      </c>
      <c r="F321" s="4" t="str">
        <f>IF(ISERROR("TREGR16"),"",HYPERLINK("#INDEX('Frequencies'!A:A,MATCH(A" &amp; ROW() &amp; ",'Frequencies'!A:A,0))","Frequencies"))</f>
        <v>Frequencies</v>
      </c>
      <c r="G321" s="2"/>
      <c r="H321" s="2"/>
      <c r="I321" s="2"/>
      <c r="J321" s="2">
        <v>94</v>
      </c>
      <c r="K321" s="2"/>
      <c r="L321" s="2"/>
    </row>
    <row r="322" spans="1:12" ht="49.95" customHeight="1" x14ac:dyDescent="0.3">
      <c r="A322" s="3" t="s">
        <v>773</v>
      </c>
      <c r="B322" s="2" t="s">
        <v>774</v>
      </c>
      <c r="C322" s="2" t="s">
        <v>758</v>
      </c>
      <c r="D322" s="2" t="s">
        <v>15</v>
      </c>
      <c r="E322" s="4" t="str">
        <f>IF(ISERROR("TREGR17"),"",HYPERLINK("#INDEX('Value Lookup'!A:A,MATCH(A" &amp; ROW() &amp; ",'Value Lookup'!A:A,0))","Value Lookup"))</f>
        <v>Value Lookup</v>
      </c>
      <c r="F322" s="4" t="str">
        <f>IF(ISERROR("TREGR17"),"",HYPERLINK("#INDEX('Frequencies'!A:A,MATCH(A" &amp; ROW() &amp; ",'Frequencies'!A:A,0))","Frequencies"))</f>
        <v>Frequencies</v>
      </c>
      <c r="G322" s="2"/>
      <c r="H322" s="2"/>
      <c r="I322" s="2"/>
      <c r="J322" s="2">
        <v>95</v>
      </c>
      <c r="K322" s="2"/>
      <c r="L322" s="2"/>
    </row>
    <row r="323" spans="1:12" ht="49.95" customHeight="1" x14ac:dyDescent="0.3">
      <c r="A323" s="3" t="s">
        <v>775</v>
      </c>
      <c r="B323" s="2" t="s">
        <v>776</v>
      </c>
      <c r="C323" s="2" t="s">
        <v>758</v>
      </c>
      <c r="D323" s="2" t="s">
        <v>15</v>
      </c>
      <c r="E323" s="4" t="str">
        <f>IF(ISERROR("TREGR18"),"",HYPERLINK("#INDEX('Value Lookup'!A:A,MATCH(A" &amp; ROW() &amp; ",'Value Lookup'!A:A,0))","Value Lookup"))</f>
        <v>Value Lookup</v>
      </c>
      <c r="F323" s="4" t="str">
        <f>IF(ISERROR("TREGR18"),"",HYPERLINK("#INDEX('Frequencies'!A:A,MATCH(A" &amp; ROW() &amp; ",'Frequencies'!A:A,0))","Frequencies"))</f>
        <v>Frequencies</v>
      </c>
      <c r="G323" s="2"/>
      <c r="H323" s="2"/>
      <c r="I323" s="2"/>
      <c r="J323" s="2">
        <v>96</v>
      </c>
      <c r="K323" s="2"/>
      <c r="L323" s="2"/>
    </row>
    <row r="324" spans="1:12" ht="49.95" customHeight="1" x14ac:dyDescent="0.3">
      <c r="A324" s="3" t="s">
        <v>777</v>
      </c>
      <c r="B324" s="2" t="s">
        <v>778</v>
      </c>
      <c r="C324" s="2" t="s">
        <v>758</v>
      </c>
      <c r="D324" s="2" t="s">
        <v>15</v>
      </c>
      <c r="E324" s="4" t="str">
        <f>IF(ISERROR("TREGR19"),"",HYPERLINK("#INDEX('Value Lookup'!A:A,MATCH(A" &amp; ROW() &amp; ",'Value Lookup'!A:A,0))","Value Lookup"))</f>
        <v>Value Lookup</v>
      </c>
      <c r="F324" s="4" t="str">
        <f>IF(ISERROR("TREGR19"),"",HYPERLINK("#INDEX('Frequencies'!A:A,MATCH(A" &amp; ROW() &amp; ",'Frequencies'!A:A,0))","Frequencies"))</f>
        <v>Frequencies</v>
      </c>
      <c r="G324" s="2"/>
      <c r="H324" s="2"/>
      <c r="I324" s="2"/>
      <c r="J324" s="2">
        <v>97</v>
      </c>
      <c r="K324" s="2"/>
      <c r="L324" s="2"/>
    </row>
    <row r="325" spans="1:12" ht="49.95" customHeight="1" x14ac:dyDescent="0.3">
      <c r="A325" s="3" t="s">
        <v>779</v>
      </c>
      <c r="B325" s="2" t="s">
        <v>780</v>
      </c>
      <c r="C325" s="2" t="s">
        <v>758</v>
      </c>
      <c r="D325" s="2" t="s">
        <v>15</v>
      </c>
      <c r="E325" s="4" t="str">
        <f>IF(ISERROR("TREGR2"),"",HYPERLINK("#INDEX('Value Lookup'!A:A,MATCH(A" &amp; ROW() &amp; ",'Value Lookup'!A:A,0))","Value Lookup"))</f>
        <v>Value Lookup</v>
      </c>
      <c r="F325" s="4" t="str">
        <f>IF(ISERROR("TREGR2"),"",HYPERLINK("#INDEX('Frequencies'!A:A,MATCH(A" &amp; ROW() &amp; ",'Frequencies'!A:A,0))","Frequencies"))</f>
        <v>Frequencies</v>
      </c>
      <c r="G325" s="2"/>
      <c r="H325" s="2"/>
      <c r="I325" s="2"/>
      <c r="J325" s="2">
        <v>80</v>
      </c>
      <c r="K325" s="2"/>
      <c r="L325" s="2"/>
    </row>
    <row r="326" spans="1:12" ht="49.95" customHeight="1" x14ac:dyDescent="0.3">
      <c r="A326" s="3" t="s">
        <v>781</v>
      </c>
      <c r="B326" s="2" t="s">
        <v>782</v>
      </c>
      <c r="C326" s="2" t="s">
        <v>758</v>
      </c>
      <c r="D326" s="2" t="s">
        <v>15</v>
      </c>
      <c r="E326" s="4" t="str">
        <f>IF(ISERROR("TREGR20"),"",HYPERLINK("#INDEX('Value Lookup'!A:A,MATCH(A" &amp; ROW() &amp; ",'Value Lookup'!A:A,0))","Value Lookup"))</f>
        <v>Value Lookup</v>
      </c>
      <c r="F326" s="4" t="str">
        <f>IF(ISERROR("TREGR20"),"",HYPERLINK("#INDEX('Frequencies'!A:A,MATCH(A" &amp; ROW() &amp; ",'Frequencies'!A:A,0))","Frequencies"))</f>
        <v>Frequencies</v>
      </c>
      <c r="G326" s="2"/>
      <c r="H326" s="2"/>
      <c r="I326" s="2"/>
      <c r="J326" s="2">
        <v>98</v>
      </c>
      <c r="K326" s="2"/>
      <c r="L326" s="2"/>
    </row>
    <row r="327" spans="1:12" ht="49.95" customHeight="1" x14ac:dyDescent="0.3">
      <c r="A327" s="3" t="s">
        <v>783</v>
      </c>
      <c r="B327" s="2" t="s">
        <v>784</v>
      </c>
      <c r="C327" s="2" t="s">
        <v>758</v>
      </c>
      <c r="D327" s="2" t="s">
        <v>15</v>
      </c>
      <c r="E327" s="4" t="str">
        <f>IF(ISERROR("TREGR3"),"",HYPERLINK("#INDEX('Value Lookup'!A:A,MATCH(A" &amp; ROW() &amp; ",'Value Lookup'!A:A,0))","Value Lookup"))</f>
        <v>Value Lookup</v>
      </c>
      <c r="F327" s="4" t="str">
        <f>IF(ISERROR("TREGR3"),"",HYPERLINK("#INDEX('Frequencies'!A:A,MATCH(A" &amp; ROW() &amp; ",'Frequencies'!A:A,0))","Frequencies"))</f>
        <v>Frequencies</v>
      </c>
      <c r="G327" s="2"/>
      <c r="H327" s="2"/>
      <c r="I327" s="2"/>
      <c r="J327" s="2">
        <v>81</v>
      </c>
      <c r="K327" s="2"/>
      <c r="L327" s="2"/>
    </row>
    <row r="328" spans="1:12" ht="49.95" customHeight="1" x14ac:dyDescent="0.3">
      <c r="A328" s="3" t="s">
        <v>785</v>
      </c>
      <c r="B328" s="2" t="s">
        <v>786</v>
      </c>
      <c r="C328" s="2" t="s">
        <v>758</v>
      </c>
      <c r="D328" s="2" t="s">
        <v>15</v>
      </c>
      <c r="E328" s="4" t="str">
        <f>IF(ISERROR("TREGR4"),"",HYPERLINK("#INDEX('Value Lookup'!A:A,MATCH(A" &amp; ROW() &amp; ",'Value Lookup'!A:A,0))","Value Lookup"))</f>
        <v>Value Lookup</v>
      </c>
      <c r="F328" s="4" t="str">
        <f>IF(ISERROR("TREGR4"),"",HYPERLINK("#INDEX('Frequencies'!A:A,MATCH(A" &amp; ROW() &amp; ",'Frequencies'!A:A,0))","Frequencies"))</f>
        <v>Frequencies</v>
      </c>
      <c r="G328" s="2"/>
      <c r="H328" s="2"/>
      <c r="I328" s="2"/>
      <c r="J328" s="2">
        <v>82</v>
      </c>
      <c r="K328" s="2"/>
      <c r="L328" s="2"/>
    </row>
    <row r="329" spans="1:12" ht="49.95" customHeight="1" x14ac:dyDescent="0.3">
      <c r="A329" s="3" t="s">
        <v>787</v>
      </c>
      <c r="B329" s="2" t="s">
        <v>788</v>
      </c>
      <c r="C329" s="2" t="s">
        <v>758</v>
      </c>
      <c r="D329" s="2" t="s">
        <v>15</v>
      </c>
      <c r="E329" s="4" t="str">
        <f>IF(ISERROR("TREGR5"),"",HYPERLINK("#INDEX('Value Lookup'!A:A,MATCH(A" &amp; ROW() &amp; ",'Value Lookup'!A:A,0))","Value Lookup"))</f>
        <v>Value Lookup</v>
      </c>
      <c r="F329" s="4" t="str">
        <f>IF(ISERROR("TREGR5"),"",HYPERLINK("#INDEX('Frequencies'!A:A,MATCH(A" &amp; ROW() &amp; ",'Frequencies'!A:A,0))","Frequencies"))</f>
        <v>Frequencies</v>
      </c>
      <c r="G329" s="2"/>
      <c r="H329" s="2"/>
      <c r="I329" s="2"/>
      <c r="J329" s="2">
        <v>83</v>
      </c>
      <c r="K329" s="2"/>
      <c r="L329" s="2"/>
    </row>
    <row r="330" spans="1:12" ht="49.95" customHeight="1" x14ac:dyDescent="0.3">
      <c r="A330" s="3" t="s">
        <v>789</v>
      </c>
      <c r="B330" s="2" t="s">
        <v>790</v>
      </c>
      <c r="C330" s="2" t="s">
        <v>758</v>
      </c>
      <c r="D330" s="2" t="s">
        <v>15</v>
      </c>
      <c r="E330" s="4" t="str">
        <f>IF(ISERROR("TREGR6"),"",HYPERLINK("#INDEX('Value Lookup'!A:A,MATCH(A" &amp; ROW() &amp; ",'Value Lookup'!A:A,0))","Value Lookup"))</f>
        <v>Value Lookup</v>
      </c>
      <c r="F330" s="4" t="str">
        <f>IF(ISERROR("TREGR6"),"",HYPERLINK("#INDEX('Frequencies'!A:A,MATCH(A" &amp; ROW() &amp; ",'Frequencies'!A:A,0))","Frequencies"))</f>
        <v>Frequencies</v>
      </c>
      <c r="G330" s="2"/>
      <c r="H330" s="2"/>
      <c r="I330" s="2"/>
      <c r="J330" s="2">
        <v>84</v>
      </c>
      <c r="K330" s="2"/>
      <c r="L330" s="2"/>
    </row>
    <row r="331" spans="1:12" ht="49.95" customHeight="1" x14ac:dyDescent="0.3">
      <c r="A331" s="3" t="s">
        <v>791</v>
      </c>
      <c r="B331" s="2" t="s">
        <v>792</v>
      </c>
      <c r="C331" s="2" t="s">
        <v>758</v>
      </c>
      <c r="D331" s="2" t="s">
        <v>15</v>
      </c>
      <c r="E331" s="4" t="str">
        <f>IF(ISERROR("TREGR7"),"",HYPERLINK("#INDEX('Value Lookup'!A:A,MATCH(A" &amp; ROW() &amp; ",'Value Lookup'!A:A,0))","Value Lookup"))</f>
        <v>Value Lookup</v>
      </c>
      <c r="F331" s="4" t="str">
        <f>IF(ISERROR("TREGR7"),"",HYPERLINK("#INDEX('Frequencies'!A:A,MATCH(A" &amp; ROW() &amp; ",'Frequencies'!A:A,0))","Frequencies"))</f>
        <v>Frequencies</v>
      </c>
      <c r="G331" s="2"/>
      <c r="H331" s="2"/>
      <c r="I331" s="2"/>
      <c r="J331" s="2">
        <v>85</v>
      </c>
      <c r="K331" s="2"/>
      <c r="L331" s="2"/>
    </row>
    <row r="332" spans="1:12" ht="49.95" customHeight="1" x14ac:dyDescent="0.3">
      <c r="A332" s="3" t="s">
        <v>793</v>
      </c>
      <c r="B332" s="2" t="s">
        <v>794</v>
      </c>
      <c r="C332" s="2" t="s">
        <v>758</v>
      </c>
      <c r="D332" s="2" t="s">
        <v>15</v>
      </c>
      <c r="E332" s="4" t="str">
        <f>IF(ISERROR("TREGR8"),"",HYPERLINK("#INDEX('Value Lookup'!A:A,MATCH(A" &amp; ROW() &amp; ",'Value Lookup'!A:A,0))","Value Lookup"))</f>
        <v>Value Lookup</v>
      </c>
      <c r="F332" s="4" t="str">
        <f>IF(ISERROR("TREGR8"),"",HYPERLINK("#INDEX('Frequencies'!A:A,MATCH(A" &amp; ROW() &amp; ",'Frequencies'!A:A,0))","Frequencies"))</f>
        <v>Frequencies</v>
      </c>
      <c r="G332" s="2"/>
      <c r="H332" s="2"/>
      <c r="I332" s="2"/>
      <c r="J332" s="2">
        <v>86</v>
      </c>
      <c r="K332" s="2"/>
      <c r="L332" s="2"/>
    </row>
    <row r="333" spans="1:12" ht="49.95" customHeight="1" x14ac:dyDescent="0.3">
      <c r="A333" s="3" t="s">
        <v>795</v>
      </c>
      <c r="B333" s="2" t="s">
        <v>796</v>
      </c>
      <c r="C333" s="2" t="s">
        <v>758</v>
      </c>
      <c r="D333" s="2" t="s">
        <v>15</v>
      </c>
      <c r="E333" s="4" t="str">
        <f>IF(ISERROR("TREGR9"),"",HYPERLINK("#INDEX('Value Lookup'!A:A,MATCH(A" &amp; ROW() &amp; ",'Value Lookup'!A:A,0))","Value Lookup"))</f>
        <v>Value Lookup</v>
      </c>
      <c r="F333" s="4" t="str">
        <f>IF(ISERROR("TREGR9"),"",HYPERLINK("#INDEX('Frequencies'!A:A,MATCH(A" &amp; ROW() &amp; ",'Frequencies'!A:A,0))","Frequencies"))</f>
        <v>Frequencies</v>
      </c>
      <c r="G333" s="2"/>
      <c r="H333" s="2"/>
      <c r="I333" s="2"/>
      <c r="J333" s="2">
        <v>87</v>
      </c>
      <c r="K333" s="2"/>
      <c r="L333" s="2"/>
    </row>
    <row r="334" spans="1:12" ht="49.95" customHeight="1" x14ac:dyDescent="0.3">
      <c r="A334" s="3" t="s">
        <v>797</v>
      </c>
      <c r="B334" s="2" t="s">
        <v>798</v>
      </c>
      <c r="C334" s="2" t="s">
        <v>758</v>
      </c>
      <c r="D334" s="2" t="s">
        <v>15</v>
      </c>
      <c r="E334" s="4" t="str">
        <f>IF(ISERROR("TREGRDK"),"",HYPERLINK("#INDEX('Value Lookup'!A:A,MATCH(A" &amp; ROW() &amp; ",'Value Lookup'!A:A,0))","Value Lookup"))</f>
        <v>Value Lookup</v>
      </c>
      <c r="F334" s="4" t="str">
        <f>IF(ISERROR("TREGRDK"),"",HYPERLINK("#INDEX('Frequencies'!A:A,MATCH(A" &amp; ROW() &amp; ",'Frequencies'!A:A,0))","Frequencies"))</f>
        <v>Frequencies</v>
      </c>
      <c r="G334" s="2"/>
      <c r="H334" s="2"/>
      <c r="I334" s="2"/>
      <c r="J334" s="2">
        <v>100</v>
      </c>
      <c r="K334" s="2"/>
      <c r="L334" s="2"/>
    </row>
    <row r="335" spans="1:12" ht="49.95" customHeight="1" x14ac:dyDescent="0.3">
      <c r="A335" s="3" t="s">
        <v>799</v>
      </c>
      <c r="B335" s="2" t="s">
        <v>800</v>
      </c>
      <c r="C335" s="2" t="s">
        <v>758</v>
      </c>
      <c r="D335" s="2" t="s">
        <v>15</v>
      </c>
      <c r="E335" s="4" t="str">
        <f>IF(ISERROR("TREGR_O"),"",HYPERLINK("#INDEX('Value Lookup'!A:A,MATCH(A" &amp; ROW() &amp; ",'Value Lookup'!A:A,0))","Value Lookup"))</f>
        <v>Value Lookup</v>
      </c>
      <c r="F335" s="4" t="str">
        <f>IF(ISERROR("TREGR_O"),"",HYPERLINK("#INDEX('Frequencies'!A:A,MATCH(A" &amp; ROW() &amp; ",'Frequencies'!A:A,0))","Frequencies"))</f>
        <v>Frequencies</v>
      </c>
      <c r="G335" s="2"/>
      <c r="H335" s="2"/>
      <c r="I335" s="2"/>
      <c r="J335" s="2">
        <v>99</v>
      </c>
      <c r="K335" s="2"/>
      <c r="L335" s="2"/>
    </row>
    <row r="336" spans="1:12" ht="49.95" customHeight="1" x14ac:dyDescent="0.3">
      <c r="A336" s="3" t="s">
        <v>801</v>
      </c>
      <c r="B336" s="2" t="s">
        <v>802</v>
      </c>
      <c r="C336" s="2" t="s">
        <v>758</v>
      </c>
      <c r="D336" s="2" t="s">
        <v>15</v>
      </c>
      <c r="E336" s="4" t="str">
        <f>IF(ISERROR("TREGRRF"),"",HYPERLINK("#INDEX('Value Lookup'!A:A,MATCH(A" &amp; ROW() &amp; ",'Value Lookup'!A:A,0))","Value Lookup"))</f>
        <v>Value Lookup</v>
      </c>
      <c r="F336" s="4" t="str">
        <f>IF(ISERROR("TREGRRF"),"",HYPERLINK("#INDEX('Frequencies'!A:A,MATCH(A" &amp; ROW() &amp; ",'Frequencies'!A:A,0))","Frequencies"))</f>
        <v>Frequencies</v>
      </c>
      <c r="G336" s="2"/>
      <c r="H336" s="2"/>
      <c r="I336" s="2"/>
      <c r="J336" s="2">
        <v>101</v>
      </c>
      <c r="K336" s="2"/>
      <c r="L336" s="2"/>
    </row>
    <row r="337" spans="1:12" ht="49.95" customHeight="1" x14ac:dyDescent="0.3">
      <c r="A337" s="3" t="s">
        <v>803</v>
      </c>
      <c r="B337" s="2" t="s">
        <v>804</v>
      </c>
      <c r="C337" s="2" t="s">
        <v>805</v>
      </c>
      <c r="D337" s="2" t="s">
        <v>45</v>
      </c>
      <c r="E337" s="2" t="str">
        <f>IF(ISERROR("TREGRTM"),"","Range: 0 - 180")</f>
        <v>Range: 0 - 180</v>
      </c>
      <c r="F337" s="4" t="str">
        <f>IF(ISERROR("TREGRTM"),"",HYPERLINK("#INDEX('Frequencies'!A:A,MATCH(A" &amp; ROW() &amp; ",'Frequencies'!A:A,0))","Frequencies"))</f>
        <v>Frequencies</v>
      </c>
      <c r="G337" s="2"/>
      <c r="H337" s="2"/>
      <c r="I337" s="2"/>
      <c r="J337" s="2">
        <v>32</v>
      </c>
      <c r="K337" s="2"/>
      <c r="L337" s="2"/>
    </row>
    <row r="338" spans="1:12" ht="49.95" customHeight="1" x14ac:dyDescent="0.3">
      <c r="A338" s="3" t="s">
        <v>806</v>
      </c>
      <c r="B338" s="2" t="s">
        <v>807</v>
      </c>
      <c r="C338" s="2"/>
      <c r="D338" s="2" t="s">
        <v>15</v>
      </c>
      <c r="E338" s="4" t="str">
        <f>IF(ISERROR("TRIP_CODE"),"",HYPERLINK("#INDEX('Value Lookup'!A:A,MATCH(A" &amp; ROW() &amp; ",'Value Lookup'!A:A,0))","Value Lookup"))</f>
        <v>Value Lookup</v>
      </c>
      <c r="F338" s="4" t="str">
        <f>IF(ISERROR("TRIP_CODE"),"",HYPERLINK("#INDEX('Frequencies'!A:A,MATCH(A" &amp; ROW() &amp; ",'Frequencies'!A:A,0))","Frequencies"))</f>
        <v>Frequencies</v>
      </c>
      <c r="G338" s="2">
        <v>34</v>
      </c>
      <c r="H338" s="2"/>
      <c r="I338" s="2"/>
      <c r="J338" s="2"/>
      <c r="K338" s="2"/>
      <c r="L338" s="2"/>
    </row>
    <row r="339" spans="1:12" ht="49.95" customHeight="1" x14ac:dyDescent="0.3">
      <c r="A339" s="3" t="s">
        <v>808</v>
      </c>
      <c r="B339" s="2" t="s">
        <v>809</v>
      </c>
      <c r="C339" s="2"/>
      <c r="D339" s="2" t="s">
        <v>15</v>
      </c>
      <c r="E339" s="4" t="str">
        <f>IF(ISERROR("TRIPPURP"),"",HYPERLINK("#INDEX('Value Lookup'!A:A,MATCH(A" &amp; ROW() &amp; ",'Value Lookup'!A:A,0))","Value Lookup"))</f>
        <v>Value Lookup</v>
      </c>
      <c r="F339" s="4" t="str">
        <f>IF(ISERROR("TRIPPURP"),"",HYPERLINK("#INDEX('Frequencies'!A:A,MATCH(A" &amp; ROW() &amp; ",'Frequencies'!A:A,0))","Frequencies"))</f>
        <v>Frequencies</v>
      </c>
      <c r="G339" s="2"/>
      <c r="H339" s="2"/>
      <c r="I339" s="2"/>
      <c r="J339" s="2">
        <v>47</v>
      </c>
      <c r="K339" s="2"/>
      <c r="L339" s="2"/>
    </row>
    <row r="340" spans="1:12" ht="49.95" customHeight="1" x14ac:dyDescent="0.3">
      <c r="A340" s="3" t="s">
        <v>810</v>
      </c>
      <c r="B340" s="2" t="s">
        <v>811</v>
      </c>
      <c r="C340" s="2" t="s">
        <v>396</v>
      </c>
      <c r="D340" s="2" t="s">
        <v>15</v>
      </c>
      <c r="E340" s="4" t="str">
        <f>IF(ISERROR("TRPACCMP"),"",HYPERLINK("#INDEX('Value Lookup'!A:A,MATCH(A" &amp; ROW() &amp; ",'Value Lookup'!A:A,0))","Value Lookup"))</f>
        <v>Value Lookup</v>
      </c>
      <c r="F340" s="4" t="str">
        <f>IF(ISERROR("TRPACCMP"),"",HYPERLINK("#INDEX('Frequencies'!A:A,MATCH(A" &amp; ROW() &amp; ",'Frequencies'!A:A,0))","Frequencies"))</f>
        <v>Frequencies</v>
      </c>
      <c r="G340" s="2"/>
      <c r="H340" s="2"/>
      <c r="I340" s="2"/>
      <c r="J340" s="2">
        <v>25</v>
      </c>
      <c r="K340" s="2"/>
      <c r="L340" s="2"/>
    </row>
    <row r="341" spans="1:12" ht="49.95" customHeight="1" x14ac:dyDescent="0.3">
      <c r="A341" s="3" t="s">
        <v>812</v>
      </c>
      <c r="B341" s="2" t="s">
        <v>813</v>
      </c>
      <c r="C341" s="2" t="s">
        <v>396</v>
      </c>
      <c r="D341" s="2" t="s">
        <v>15</v>
      </c>
      <c r="E341" s="4" t="str">
        <f>IF(ISERROR("TRPHHACC"),"",HYPERLINK("#INDEX('Value Lookup'!A:A,MATCH(A" &amp; ROW() &amp; ",'Value Lookup'!A:A,0))","Value Lookup"))</f>
        <v>Value Lookup</v>
      </c>
      <c r="F341" s="4" t="str">
        <f>IF(ISERROR("TRPHHACC"),"",HYPERLINK("#INDEX('Frequencies'!A:A,MATCH(A" &amp; ROW() &amp; ",'Frequencies'!A:A,0))","Frequencies"))</f>
        <v>Frequencies</v>
      </c>
      <c r="G341" s="2"/>
      <c r="H341" s="2"/>
      <c r="I341" s="2"/>
      <c r="J341" s="2">
        <v>26</v>
      </c>
      <c r="K341" s="2"/>
      <c r="L341" s="2"/>
    </row>
    <row r="342" spans="1:12" ht="49.95" customHeight="1" x14ac:dyDescent="0.3">
      <c r="A342" s="3" t="s">
        <v>814</v>
      </c>
      <c r="B342" s="2" t="s">
        <v>815</v>
      </c>
      <c r="C342" s="2"/>
      <c r="D342" s="2" t="s">
        <v>15</v>
      </c>
      <c r="E342" s="4" t="str">
        <f>IF(ISERROR("TRPHHVEH"),"",HYPERLINK("#INDEX('Value Lookup'!A:A,MATCH(A" &amp; ROW() &amp; ",'Value Lookup'!A:A,0))","Value Lookup"))</f>
        <v>Value Lookup</v>
      </c>
      <c r="F342" s="4" t="str">
        <f>IF(ISERROR("TRPHHVEH"),"",HYPERLINK("#INDEX('Frequencies'!A:A,MATCH(A" &amp; ROW() &amp; ",'Frequencies'!A:A,0))","Frequencies"))</f>
        <v>Frequencies</v>
      </c>
      <c r="G342" s="2"/>
      <c r="H342" s="2"/>
      <c r="I342" s="2"/>
      <c r="J342" s="2">
        <v>40</v>
      </c>
      <c r="K342" s="2"/>
      <c r="L342" s="2"/>
    </row>
    <row r="343" spans="1:12" ht="49.95" customHeight="1" x14ac:dyDescent="0.3">
      <c r="A343" s="3" t="s">
        <v>816</v>
      </c>
      <c r="B343" s="2" t="s">
        <v>817</v>
      </c>
      <c r="C343" s="2"/>
      <c r="D343" s="2" t="s">
        <v>45</v>
      </c>
      <c r="E343" s="4" t="str">
        <f>IF(ISERROR("TRPMILES"),"",HYPERLINK("#INDEX('Value Lookup'!A:A,MATCH(A" &amp; ROW() &amp; ",'Value Lookup'!A:A,0))","Value Lookup"))</f>
        <v>Value Lookup</v>
      </c>
      <c r="F343" s="4" t="str">
        <f>IF(ISERROR("TRPMILES"),"",HYPERLINK("#INDEX('Frequencies'!A:A,MATCH(A" &amp; ROW() &amp; ",'Frequencies'!A:A,0))","Frequencies"))</f>
        <v>Frequencies</v>
      </c>
      <c r="G343" s="2"/>
      <c r="H343" s="2"/>
      <c r="I343" s="2"/>
      <c r="J343" s="2">
        <v>18</v>
      </c>
      <c r="K343" s="2"/>
      <c r="L343" s="2"/>
    </row>
    <row r="344" spans="1:12" ht="49.95" customHeight="1" x14ac:dyDescent="0.3">
      <c r="A344" s="3" t="s">
        <v>818</v>
      </c>
      <c r="B344" s="2" t="s">
        <v>819</v>
      </c>
      <c r="C344" s="2"/>
      <c r="D344" s="2" t="s">
        <v>45</v>
      </c>
      <c r="E344" s="2" t="str">
        <f>IF(ISERROR("TRPMILES17"),"","NA")</f>
        <v>NA</v>
      </c>
      <c r="F344" s="4" t="str">
        <f>IF(ISERROR("TRPMILES17"),"",HYPERLINK("#INDEX('Frequencies'!A:A,MATCH(A" &amp; ROW() &amp; ",'Frequencies'!A:A,0))","Frequencies"))</f>
        <v>Frequencies</v>
      </c>
      <c r="G344" s="2"/>
      <c r="H344" s="2"/>
      <c r="I344" s="2"/>
      <c r="J344" s="2">
        <v>17</v>
      </c>
      <c r="K344" s="2"/>
      <c r="L344" s="2"/>
    </row>
    <row r="345" spans="1:12" ht="49.95" customHeight="1" x14ac:dyDescent="0.3">
      <c r="A345" s="3" t="s">
        <v>820</v>
      </c>
      <c r="B345" s="2" t="s">
        <v>821</v>
      </c>
      <c r="C345" s="2" t="s">
        <v>822</v>
      </c>
      <c r="D345" s="2" t="s">
        <v>15</v>
      </c>
      <c r="E345" s="4" t="str">
        <f>IF(ISERROR("TRPPUB"),"",HYPERLINK("#INDEX('Value Lookup'!A:A,MATCH(A" &amp; ROW() &amp; ",'Value Lookup'!A:A,0))","Value Lookup"))</f>
        <v>Value Lookup</v>
      </c>
      <c r="F345" s="4" t="str">
        <f>IF(ISERROR("TRPPUB"),"",HYPERLINK("#INDEX('Frequencies'!A:A,MATCH(A" &amp; ROW() &amp; ",'Frequencies'!A:A,0))","Frequencies"))</f>
        <v>Frequencies</v>
      </c>
      <c r="G345" s="2"/>
      <c r="H345" s="2"/>
      <c r="I345" s="2"/>
      <c r="J345" s="2">
        <v>21</v>
      </c>
      <c r="K345" s="2"/>
      <c r="L345" s="2"/>
    </row>
    <row r="346" spans="1:12" ht="49.95" customHeight="1" x14ac:dyDescent="0.3">
      <c r="A346" s="3" t="s">
        <v>823</v>
      </c>
      <c r="B346" s="2" t="s">
        <v>824</v>
      </c>
      <c r="C346" s="2"/>
      <c r="D346" s="2" t="s">
        <v>15</v>
      </c>
      <c r="E346" s="4" t="str">
        <f>IF(ISERROR("TRPTRANS"),"",HYPERLINK("#INDEX('Value Lookup'!A:A,MATCH(A" &amp; ROW() &amp; ",'Value Lookup'!A:A,0))","Value Lookup"))</f>
        <v>Value Lookup</v>
      </c>
      <c r="F346" s="4" t="str">
        <f>IF(ISERROR("TRPTRANS"),"",HYPERLINK("#INDEX('Frequencies'!A:A,MATCH(A" &amp; ROW() &amp; ",'Frequencies'!A:A,0))","Frequencies"))</f>
        <v>Frequencies</v>
      </c>
      <c r="G346" s="2"/>
      <c r="H346" s="2"/>
      <c r="I346" s="2"/>
      <c r="J346" s="2">
        <v>22</v>
      </c>
      <c r="K346" s="2"/>
      <c r="L346" s="2"/>
    </row>
    <row r="347" spans="1:12" ht="49.95" customHeight="1" x14ac:dyDescent="0.3">
      <c r="A347" s="3" t="s">
        <v>825</v>
      </c>
      <c r="B347" s="2" t="s">
        <v>826</v>
      </c>
      <c r="C347" s="2" t="s">
        <v>827</v>
      </c>
      <c r="D347" s="2" t="s">
        <v>15</v>
      </c>
      <c r="E347" s="4" t="str">
        <f>IF(ISERROR("TRPTRANS17"),"",HYPERLINK("#INDEX('Value Lookup'!A:A,MATCH(A" &amp; ROW() &amp; ",'Value Lookup'!A:A,0))","Value Lookup"))</f>
        <v>Value Lookup</v>
      </c>
      <c r="F347" s="4" t="str">
        <f>IF(ISERROR("TRPTRANS17"),"",HYPERLINK("#INDEX('Frequencies'!A:A,MATCH(A" &amp; ROW() &amp; ",'Frequencies'!A:A,0))","Frequencies"))</f>
        <v>Frequencies</v>
      </c>
      <c r="G347" s="2"/>
      <c r="H347" s="2"/>
      <c r="I347" s="2"/>
      <c r="J347" s="2">
        <v>23</v>
      </c>
      <c r="K347" s="2"/>
      <c r="L347" s="2"/>
    </row>
    <row r="348" spans="1:12" ht="49.95" customHeight="1" x14ac:dyDescent="0.3">
      <c r="A348" s="3" t="s">
        <v>828</v>
      </c>
      <c r="B348" s="2" t="s">
        <v>829</v>
      </c>
      <c r="C348" s="2" t="s">
        <v>830</v>
      </c>
      <c r="D348" s="2" t="s">
        <v>15</v>
      </c>
      <c r="E348" s="4" t="str">
        <f>IF(ISERROR("TRPTRNOS"),"",HYPERLINK("#INDEX('Value Lookup'!A:A,MATCH(A" &amp; ROW() &amp; ",'Value Lookup'!A:A,0))","Value Lookup"))</f>
        <v>Value Lookup</v>
      </c>
      <c r="F348" s="4" t="str">
        <f>IF(ISERROR("TRPTRNOS"),"",HYPERLINK("#INDEX('Frequencies'!A:A,MATCH(A" &amp; ROW() &amp; ",'Frequencies'!A:A,0))","Frequencies"))</f>
        <v>Frequencies</v>
      </c>
      <c r="G348" s="2"/>
      <c r="H348" s="2"/>
      <c r="I348" s="2"/>
      <c r="J348" s="2">
        <v>24</v>
      </c>
      <c r="K348" s="2"/>
      <c r="L348" s="2"/>
    </row>
    <row r="349" spans="1:12" ht="49.95" customHeight="1" x14ac:dyDescent="0.3">
      <c r="A349" s="3" t="s">
        <v>831</v>
      </c>
      <c r="B349" s="2" t="s">
        <v>832</v>
      </c>
      <c r="C349" s="2"/>
      <c r="D349" s="2" t="s">
        <v>45</v>
      </c>
      <c r="E349" s="4" t="str">
        <f>IF(ISERROR("TRVLCMIN"),"",HYPERLINK("#INDEX('Value Lookup'!A:A,MATCH(A" &amp; ROW() &amp; ",'Value Lookup'!A:A,0))","Value Lookup"))</f>
        <v>Value Lookup</v>
      </c>
      <c r="F349" s="4" t="str">
        <f>IF(ISERROR("TRVLCMIN"),"",HYPERLINK("#INDEX('Frequencies'!A:A,MATCH(A" &amp; ROW() &amp; ",'Frequencies'!A:A,0))","Frequencies"))</f>
        <v>Frequencies</v>
      </c>
      <c r="G349" s="2"/>
      <c r="H349" s="2"/>
      <c r="I349" s="2"/>
      <c r="J349" s="2">
        <v>16</v>
      </c>
      <c r="K349" s="2"/>
      <c r="L349" s="2"/>
    </row>
    <row r="350" spans="1:12" ht="49.95" customHeight="1" x14ac:dyDescent="0.3">
      <c r="A350" s="3" t="s">
        <v>833</v>
      </c>
      <c r="B350" s="2" t="s">
        <v>834</v>
      </c>
      <c r="C350" s="2" t="s">
        <v>835</v>
      </c>
      <c r="D350" s="2" t="s">
        <v>45</v>
      </c>
      <c r="E350" s="2" t="str">
        <f>IF(ISERROR("TRWAITTM"),"","Range: 0 - 60")</f>
        <v>Range: 0 - 60</v>
      </c>
      <c r="F350" s="4" t="str">
        <f>IF(ISERROR("TRWAITTM"),"",HYPERLINK("#INDEX('Frequencies'!A:A,MATCH(A" &amp; ROW() &amp; ",'Frequencies'!A:A,0))","Frequencies"))</f>
        <v>Frequencies</v>
      </c>
      <c r="G350" s="2"/>
      <c r="H350" s="2"/>
      <c r="I350" s="2"/>
      <c r="J350" s="2">
        <v>28</v>
      </c>
      <c r="K350" s="2"/>
      <c r="L350" s="2"/>
    </row>
    <row r="351" spans="1:12" ht="49.95" customHeight="1" x14ac:dyDescent="0.3">
      <c r="A351" s="3" t="s">
        <v>836</v>
      </c>
      <c r="B351" s="2" t="s">
        <v>837</v>
      </c>
      <c r="C351" s="2"/>
      <c r="D351" s="2" t="s">
        <v>15</v>
      </c>
      <c r="E351" s="4" t="str">
        <f>IF(ISERROR("URBAN"),"",HYPERLINK("#INDEX('Value Lookup'!A:A,MATCH(A" &amp; ROW() &amp; ",'Value Lookup'!A:A,0))","Value Lookup"))</f>
        <v>Value Lookup</v>
      </c>
      <c r="F351" s="4" t="str">
        <f>IF(ISERROR("URBAN"),"",HYPERLINK("#INDEX('Frequencies'!A:A,MATCH(A" &amp; ROW() &amp; ",'Frequencies'!A:A,0))","Frequencies"))</f>
        <v>Frequencies</v>
      </c>
      <c r="G351" s="2">
        <v>79</v>
      </c>
      <c r="H351" s="2"/>
      <c r="I351" s="2"/>
      <c r="J351" s="2"/>
      <c r="K351" s="2"/>
      <c r="L351" s="2"/>
    </row>
    <row r="352" spans="1:12" ht="49.95" customHeight="1" x14ac:dyDescent="0.3">
      <c r="A352" s="3" t="s">
        <v>838</v>
      </c>
      <c r="B352" s="2" t="s">
        <v>839</v>
      </c>
      <c r="C352" s="2"/>
      <c r="D352" s="2" t="s">
        <v>15</v>
      </c>
      <c r="E352" s="4" t="str">
        <f>IF(ISERROR("URBANSIZE"),"",HYPERLINK("#INDEX('Value Lookup'!A:A,MATCH(A" &amp; ROW() &amp; ",'Value Lookup'!A:A,0))","Value Lookup"))</f>
        <v>Value Lookup</v>
      </c>
      <c r="F352" s="4" t="str">
        <f>IF(ISERROR("URBANSIZE"),"",HYPERLINK("#INDEX('Frequencies'!A:A,MATCH(A" &amp; ROW() &amp; ",'Frequencies'!A:A,0))","Frequencies"))</f>
        <v>Frequencies</v>
      </c>
      <c r="G352" s="2">
        <v>80</v>
      </c>
      <c r="H352" s="2"/>
      <c r="I352" s="2"/>
      <c r="J352" s="2"/>
      <c r="K352" s="2"/>
      <c r="L352" s="2"/>
    </row>
    <row r="353" spans="1:12" ht="49.95" customHeight="1" x14ac:dyDescent="0.3">
      <c r="A353" s="3" t="s">
        <v>840</v>
      </c>
      <c r="B353" s="2" t="s">
        <v>841</v>
      </c>
      <c r="C353" s="2"/>
      <c r="D353" s="2" t="s">
        <v>15</v>
      </c>
      <c r="E353" s="4" t="str">
        <f>IF(ISERROR("URBRUR"),"",HYPERLINK("#INDEX('Value Lookup'!A:A,MATCH(A" &amp; ROW() &amp; ",'Value Lookup'!A:A,0))","Value Lookup"))</f>
        <v>Value Lookup</v>
      </c>
      <c r="F353" s="4" t="str">
        <f>IF(ISERROR("URBRUR"),"",HYPERLINK("#INDEX('Frequencies'!A:A,MATCH(A" &amp; ROW() &amp; ",'Frequencies'!A:A,0))","Frequencies"))</f>
        <v>Frequencies</v>
      </c>
      <c r="G353" s="2">
        <v>81</v>
      </c>
      <c r="H353" s="2"/>
      <c r="I353" s="2"/>
      <c r="J353" s="2"/>
      <c r="K353" s="2"/>
      <c r="L353" s="2"/>
    </row>
    <row r="354" spans="1:12" ht="49.95" customHeight="1" x14ac:dyDescent="0.3">
      <c r="A354" s="3" t="s">
        <v>842</v>
      </c>
      <c r="B354" s="2" t="s">
        <v>843</v>
      </c>
      <c r="C354" s="2"/>
      <c r="D354" s="2" t="s">
        <v>15</v>
      </c>
      <c r="E354" s="4" t="str">
        <f>IF(ISERROR("USEPUBTR"),"",HYPERLINK("#INDEX('Value Lookup'!A:A,MATCH(A" &amp; ROW() &amp; ",'Value Lookup'!A:A,0))","Value Lookup"))</f>
        <v>Value Lookup</v>
      </c>
      <c r="F354" s="4" t="str">
        <f>IF(ISERROR("USEPUBTR"),"",HYPERLINK("#INDEX('Frequencies'!A:A,MATCH(A" &amp; ROW() &amp; ",'Frequencies'!A:A,0))","Frequencies"))</f>
        <v>Frequencies</v>
      </c>
      <c r="G354" s="2"/>
      <c r="H354" s="2">
        <v>83</v>
      </c>
      <c r="I354" s="2"/>
      <c r="J354" s="2"/>
      <c r="K354" s="2"/>
      <c r="L354" s="2"/>
    </row>
    <row r="355" spans="1:12" ht="49.95" customHeight="1" x14ac:dyDescent="0.3">
      <c r="A355" s="3" t="s">
        <v>844</v>
      </c>
      <c r="B355" s="2" t="s">
        <v>845</v>
      </c>
      <c r="C355" s="2" t="s">
        <v>846</v>
      </c>
      <c r="D355" s="2" t="s">
        <v>15</v>
      </c>
      <c r="E355" s="4" t="str">
        <f>IF(ISERROR("USEPUBTR17"),"",HYPERLINK("#INDEX('Value Lookup'!A:A,MATCH(A" &amp; ROW() &amp; ",'Value Lookup'!A:A,0))","Value Lookup"))</f>
        <v>Value Lookup</v>
      </c>
      <c r="F355" s="4" t="str">
        <f>IF(ISERROR("USEPUBTR17"),"",HYPERLINK("#INDEX('Frequencies'!A:A,MATCH(A" &amp; ROW() &amp; ",'Frequencies'!A:A,0))","Frequencies"))</f>
        <v>Frequencies</v>
      </c>
      <c r="G355" s="2"/>
      <c r="H355" s="2">
        <v>82</v>
      </c>
      <c r="I355" s="2"/>
      <c r="J355" s="2"/>
      <c r="K355" s="2"/>
      <c r="L355" s="2"/>
    </row>
    <row r="356" spans="1:12" ht="49.95" customHeight="1" x14ac:dyDescent="0.3">
      <c r="A356" s="3" t="s">
        <v>847</v>
      </c>
      <c r="B356" s="2" t="s">
        <v>848</v>
      </c>
      <c r="C356" s="2"/>
      <c r="D356" s="2" t="s">
        <v>45</v>
      </c>
      <c r="E356" s="4" t="str">
        <f>IF(ISERROR("VEHAGE"),"",HYPERLINK("#INDEX('Value Lookup'!A:A,MATCH(A" &amp; ROW() &amp; ",'Value Lookup'!A:A,0))","Value Lookup"))</f>
        <v>Value Lookup</v>
      </c>
      <c r="F356" s="4" t="str">
        <f>IF(ISERROR("VEHAGE"),"",HYPERLINK("#INDEX('Frequencies'!A:A,MATCH(A" &amp; ROW() &amp; ",'Frequencies'!A:A,0))","Frequencies"))</f>
        <v>Frequencies</v>
      </c>
      <c r="G356" s="2"/>
      <c r="H356" s="2"/>
      <c r="I356" s="2">
        <v>4</v>
      </c>
      <c r="J356" s="2"/>
      <c r="K356" s="2"/>
      <c r="L356" s="2"/>
    </row>
    <row r="357" spans="1:12" ht="49.95" customHeight="1" x14ac:dyDescent="0.3">
      <c r="A357" s="3" t="s">
        <v>849</v>
      </c>
      <c r="B357" s="2" t="s">
        <v>850</v>
      </c>
      <c r="C357" s="2" t="s">
        <v>851</v>
      </c>
      <c r="D357" s="2" t="s">
        <v>15</v>
      </c>
      <c r="E357" s="4" t="str">
        <f>IF(ISERROR("VEHID"),"",HYPERLINK("#INDEX('Value Lookup'!A:A,MATCH(A" &amp; ROW() &amp; ",'Value Lookup'!A:A,0))","Value Lookup"))</f>
        <v>Value Lookup</v>
      </c>
      <c r="F357" s="4" t="str">
        <f>IF(ISERROR("VEHID"),"",HYPERLINK("#INDEX('Frequencies'!A:A,MATCH(A" &amp; ROW() &amp; ",'Frequencies'!A:A,0))","Frequencies"))</f>
        <v>Frequencies</v>
      </c>
      <c r="G357" s="2"/>
      <c r="H357" s="2"/>
      <c r="I357" s="2">
        <v>2</v>
      </c>
      <c r="J357" s="2">
        <v>27</v>
      </c>
      <c r="K357" s="2"/>
      <c r="L357" s="2"/>
    </row>
    <row r="358" spans="1:12" ht="49.95" customHeight="1" x14ac:dyDescent="0.3">
      <c r="A358" s="3" t="s">
        <v>852</v>
      </c>
      <c r="B358" s="2" t="s">
        <v>853</v>
      </c>
      <c r="C358" s="2" t="s">
        <v>186</v>
      </c>
      <c r="D358" s="2" t="s">
        <v>15</v>
      </c>
      <c r="E358" s="4" t="str">
        <f>IF(ISERROR("VEHMILE2"),"",HYPERLINK("#INDEX('Value Lookup'!A:A,MATCH(A" &amp; ROW() &amp; ",'Value Lookup'!A:A,0))","Value Lookup"))</f>
        <v>Value Lookup</v>
      </c>
      <c r="F358" s="4" t="str">
        <f>IF(ISERROR("VEHMILE2"),"",HYPERLINK("#INDEX('Frequencies'!A:A,MATCH(A" &amp; ROW() &amp; ",'Frequencies'!A:A,0))","Frequencies"))</f>
        <v>Frequencies</v>
      </c>
      <c r="G358" s="2"/>
      <c r="H358" s="2"/>
      <c r="I358" s="2">
        <v>24</v>
      </c>
      <c r="J358" s="2"/>
      <c r="K358" s="2"/>
      <c r="L358" s="2"/>
    </row>
    <row r="359" spans="1:12" ht="49.95" customHeight="1" x14ac:dyDescent="0.3">
      <c r="A359" s="3" t="s">
        <v>854</v>
      </c>
      <c r="B359" s="2" t="s">
        <v>855</v>
      </c>
      <c r="C359" s="2" t="s">
        <v>856</v>
      </c>
      <c r="D359" s="2" t="s">
        <v>45</v>
      </c>
      <c r="E359" s="2" t="str">
        <f>IF(ISERROR("VEHMILES"),"","Range: 0 - 200000")</f>
        <v>Range: 0 - 200000</v>
      </c>
      <c r="F359" s="4" t="str">
        <f>IF(ISERROR("VEHMILES"),"",HYPERLINK("#INDEX('Frequencies'!A:A,MATCH(A" &amp; ROW() &amp; ",'Frequencies'!A:A,0))","Frequencies"))</f>
        <v>Frequencies</v>
      </c>
      <c r="G359" s="2"/>
      <c r="H359" s="2"/>
      <c r="I359" s="2">
        <v>22</v>
      </c>
      <c r="J359" s="2"/>
      <c r="K359" s="2"/>
      <c r="L359" s="2"/>
    </row>
    <row r="360" spans="1:12" ht="49.95" customHeight="1" x14ac:dyDescent="0.3">
      <c r="A360" s="3" t="s">
        <v>857</v>
      </c>
      <c r="B360" s="2" t="s">
        <v>858</v>
      </c>
      <c r="C360" s="2" t="s">
        <v>859</v>
      </c>
      <c r="D360" s="2" t="s">
        <v>15</v>
      </c>
      <c r="E360" s="4" t="str">
        <f>IF(ISERROR("VEHOWNED"),"",HYPERLINK("#INDEX('Value Lookup'!A:A,MATCH(A" &amp; ROW() &amp; ",'Value Lookup'!A:A,0))","Value Lookup"))</f>
        <v>Value Lookup</v>
      </c>
      <c r="F360" s="4" t="str">
        <f>IF(ISERROR("VEHOWNED"),"",HYPERLINK("#INDEX('Frequencies'!A:A,MATCH(A" &amp; ROW() &amp; ",'Frequencies'!A:A,0))","Frequencies"))</f>
        <v>Frequencies</v>
      </c>
      <c r="G360" s="2"/>
      <c r="H360" s="2"/>
      <c r="I360" s="2">
        <v>21</v>
      </c>
      <c r="J360" s="2"/>
      <c r="K360" s="2"/>
      <c r="L360" s="2"/>
    </row>
    <row r="361" spans="1:12" ht="49.95" customHeight="1" x14ac:dyDescent="0.3">
      <c r="A361" s="3" t="s">
        <v>860</v>
      </c>
      <c r="B361" s="2" t="s">
        <v>861</v>
      </c>
      <c r="C361" s="2" t="s">
        <v>862</v>
      </c>
      <c r="D361" s="2" t="s">
        <v>15</v>
      </c>
      <c r="E361" s="2" t="str">
        <f>IF(ISERROR("VEHOWNMO"),"","Range: 0 - 11")</f>
        <v>Range: 0 - 11</v>
      </c>
      <c r="F361" s="4" t="str">
        <f>IF(ISERROR("VEHOWNMO"),"",HYPERLINK("#INDEX('Frequencies'!A:A,MATCH(A" &amp; ROW() &amp; ",'Frequencies'!A:A,0))","Frequencies"))</f>
        <v>Frequencies</v>
      </c>
      <c r="G361" s="2"/>
      <c r="H361" s="2"/>
      <c r="I361" s="2">
        <v>25</v>
      </c>
      <c r="J361" s="2"/>
      <c r="K361" s="2"/>
      <c r="L361" s="2"/>
    </row>
    <row r="362" spans="1:12" ht="49.95" customHeight="1" x14ac:dyDescent="0.3">
      <c r="A362" s="3" t="s">
        <v>863</v>
      </c>
      <c r="B362" s="2" t="s">
        <v>864</v>
      </c>
      <c r="C362" s="2" t="s">
        <v>865</v>
      </c>
      <c r="D362" s="2" t="s">
        <v>15</v>
      </c>
      <c r="E362" s="4" t="str">
        <f>IF(ISERROR("VEHTYOS"),"",HYPERLINK("#INDEX('Value Lookup'!A:A,MATCH(A" &amp; ROW() &amp; ",'Value Lookup'!A:A,0))","Value Lookup"))</f>
        <v>Value Lookup</v>
      </c>
      <c r="F362" s="4" t="str">
        <f>IF(ISERROR("VEHTYOS"),"",HYPERLINK("#INDEX('Frequencies'!A:A,MATCH(A" &amp; ROW() &amp; ",'Frequencies'!A:A,0))","Frequencies"))</f>
        <v>Frequencies</v>
      </c>
      <c r="G362" s="2"/>
      <c r="H362" s="2"/>
      <c r="I362" s="2">
        <v>12</v>
      </c>
      <c r="J362" s="2"/>
      <c r="K362" s="2"/>
      <c r="L362" s="2"/>
    </row>
    <row r="363" spans="1:12" ht="49.95" customHeight="1" x14ac:dyDescent="0.3">
      <c r="A363" s="3" t="s">
        <v>866</v>
      </c>
      <c r="B363" s="2" t="s">
        <v>867</v>
      </c>
      <c r="C363" s="2" t="s">
        <v>868</v>
      </c>
      <c r="D363" s="2" t="s">
        <v>15</v>
      </c>
      <c r="E363" s="4" t="str">
        <f>IF(ISERROR("VEHTYPE"),"",HYPERLINK("#INDEX('Value Lookup'!A:A,MATCH(A" &amp; ROW() &amp; ",'Value Lookup'!A:A,0))","Value Lookup"))</f>
        <v>Value Lookup</v>
      </c>
      <c r="F363" s="4" t="str">
        <f>IF(ISERROR("VEHTYPE"),"",HYPERLINK("#INDEX('Frequencies'!A:A,MATCH(A" &amp; ROW() &amp; ",'Frequencies'!A:A,0))","Frequencies"))</f>
        <v>Frequencies</v>
      </c>
      <c r="G363" s="2"/>
      <c r="H363" s="2"/>
      <c r="I363" s="2">
        <v>11</v>
      </c>
      <c r="J363" s="2"/>
      <c r="K363" s="2"/>
      <c r="L363" s="2"/>
    </row>
    <row r="364" spans="1:12" ht="49.95" customHeight="1" x14ac:dyDescent="0.3">
      <c r="A364" s="3" t="s">
        <v>869</v>
      </c>
      <c r="B364" s="2" t="s">
        <v>870</v>
      </c>
      <c r="C364" s="2" t="s">
        <v>871</v>
      </c>
      <c r="D364" s="2" t="s">
        <v>45</v>
      </c>
      <c r="E364" s="2" t="str">
        <f>IF(ISERROR("VEHYEAR"),"","Range: 1900 - 2017")</f>
        <v>Range: 1900 - 2017</v>
      </c>
      <c r="F364" s="4" t="str">
        <f>IF(ISERROR("VEHYEAR"),"",HYPERLINK("#INDEX('Frequencies'!A:A,MATCH(A" &amp; ROW() &amp; ",'Frequencies'!A:A,0))","Frequencies"))</f>
        <v>Frequencies</v>
      </c>
      <c r="G364" s="2"/>
      <c r="H364" s="2"/>
      <c r="I364" s="2">
        <v>3</v>
      </c>
      <c r="J364" s="2"/>
      <c r="K364" s="2"/>
      <c r="L364" s="2"/>
    </row>
    <row r="365" spans="1:12" ht="49.95" customHeight="1" x14ac:dyDescent="0.3">
      <c r="A365" s="3" t="s">
        <v>872</v>
      </c>
      <c r="B365" s="2" t="s">
        <v>873</v>
      </c>
      <c r="C365" s="2" t="s">
        <v>874</v>
      </c>
      <c r="D365" s="2" t="s">
        <v>15</v>
      </c>
      <c r="E365" s="4" t="str">
        <f>IF(ISERROR("VERESTML"),"",HYPERLINK("#INDEX('Value Lookup'!A:A,MATCH(A" &amp; ROW() &amp; ",'Value Lookup'!A:A,0))","Value Lookup"))</f>
        <v>Value Lookup</v>
      </c>
      <c r="F365" s="4" t="str">
        <f>IF(ISERROR("VERESTML"),"",HYPERLINK("#INDEX('Frequencies'!A:A,MATCH(A" &amp; ROW() &amp; ",'Frequencies'!A:A,0))","Frequencies"))</f>
        <v>Frequencies</v>
      </c>
      <c r="G365" s="2"/>
      <c r="H365" s="2"/>
      <c r="I365" s="2">
        <v>27</v>
      </c>
      <c r="J365" s="2"/>
      <c r="K365" s="2"/>
      <c r="L365" s="2"/>
    </row>
    <row r="366" spans="1:12" ht="49.95" customHeight="1" x14ac:dyDescent="0.3">
      <c r="A366" s="3" t="s">
        <v>875</v>
      </c>
      <c r="B366" s="2" t="s">
        <v>876</v>
      </c>
      <c r="C366" s="2" t="s">
        <v>877</v>
      </c>
      <c r="D366" s="2" t="s">
        <v>15</v>
      </c>
      <c r="E366" s="4" t="str">
        <f>IF(ISERROR("VERMILES"),"",HYPERLINK("#INDEX('Value Lookup'!A:A,MATCH(A" &amp; ROW() &amp; ",'Value Lookup'!A:A,0))","Value Lookup"))</f>
        <v>Value Lookup</v>
      </c>
      <c r="F366" s="4" t="str">
        <f>IF(ISERROR("VERMILES"),"",HYPERLINK("#INDEX('Frequencies'!A:A,MATCH(A" &amp; ROW() &amp; ",'Frequencies'!A:A,0))","Frequencies"))</f>
        <v>Frequencies</v>
      </c>
      <c r="G366" s="2"/>
      <c r="H366" s="2"/>
      <c r="I366" s="2">
        <v>23</v>
      </c>
      <c r="J366" s="2"/>
      <c r="K366" s="2"/>
      <c r="L366" s="2"/>
    </row>
    <row r="367" spans="1:12" ht="49.95" customHeight="1" x14ac:dyDescent="0.3">
      <c r="A367" s="3" t="s">
        <v>878</v>
      </c>
      <c r="B367" s="2" t="s">
        <v>879</v>
      </c>
      <c r="C367" s="2" t="s">
        <v>880</v>
      </c>
      <c r="D367" s="2" t="s">
        <v>15</v>
      </c>
      <c r="E367" s="4" t="str">
        <f>IF(ISERROR("VERYRMIL"),"",HYPERLINK("#INDEX('Value Lookup'!A:A,MATCH(A" &amp; ROW() &amp; ",'Value Lookup'!A:A,0))","Value Lookup"))</f>
        <v>Value Lookup</v>
      </c>
      <c r="F367" s="4" t="str">
        <f>IF(ISERROR("VERYRMIL"),"",HYPERLINK("#INDEX('Frequencies'!A:A,MATCH(A" &amp; ROW() &amp; ",'Frequencies'!A:A,0))","Frequencies"))</f>
        <v>Frequencies</v>
      </c>
      <c r="G367" s="2"/>
      <c r="H367" s="2">
        <v>78</v>
      </c>
      <c r="I367" s="2"/>
      <c r="J367" s="2"/>
      <c r="K367" s="2"/>
      <c r="L367" s="2"/>
    </row>
    <row r="368" spans="1:12" ht="49.95" customHeight="1" x14ac:dyDescent="0.3">
      <c r="A368" s="3" t="s">
        <v>881</v>
      </c>
      <c r="B368" s="2" t="s">
        <v>882</v>
      </c>
      <c r="C368" s="2"/>
      <c r="D368" s="2" t="s">
        <v>45</v>
      </c>
      <c r="E368" s="4" t="str">
        <f>IF(ISERROR("VMT_MILE"),"",HYPERLINK("#INDEX('Value Lookup'!A:A,MATCH(A" &amp; ROW() &amp; ",'Value Lookup'!A:A,0))","Value Lookup"))</f>
        <v>Value Lookup</v>
      </c>
      <c r="F368" s="4" t="str">
        <f>IF(ISERROR("VMT_MILE"),"",HYPERLINK("#INDEX('Frequencies'!A:A,MATCH(A" &amp; ROW() &amp; ",'Frequencies'!A:A,0))","Frequencies"))</f>
        <v>Frequencies</v>
      </c>
      <c r="G368" s="2"/>
      <c r="H368" s="2"/>
      <c r="I368" s="2"/>
      <c r="J368" s="2">
        <v>50</v>
      </c>
      <c r="K368" s="2"/>
      <c r="L368" s="2"/>
    </row>
    <row r="369" spans="1:12" ht="49.95" customHeight="1" x14ac:dyDescent="0.3">
      <c r="A369" s="3" t="s">
        <v>883</v>
      </c>
      <c r="B369" s="2" t="s">
        <v>884</v>
      </c>
      <c r="C369" s="2"/>
      <c r="D369" s="2" t="s">
        <v>45</v>
      </c>
      <c r="E369" s="4" t="str">
        <f>IF(ISERROR("VMT_MILE17"),"",HYPERLINK("#INDEX('Value Lookup'!A:A,MATCH(A" &amp; ROW() &amp; ",'Value Lookup'!A:A,0))","Value Lookup"))</f>
        <v>Value Lookup</v>
      </c>
      <c r="F369" s="4" t="str">
        <f>IF(ISERROR("VMT_MILE17"),"",HYPERLINK("#INDEX('Frequencies'!A:A,MATCH(A" &amp; ROW() &amp; ",'Frequencies'!A:A,0))","Frequencies"))</f>
        <v>Frequencies</v>
      </c>
      <c r="G369" s="2"/>
      <c r="H369" s="2"/>
      <c r="I369" s="2"/>
      <c r="J369" s="2">
        <v>51</v>
      </c>
      <c r="K369" s="2"/>
      <c r="L369" s="2"/>
    </row>
    <row r="370" spans="1:12" ht="49.95" customHeight="1" x14ac:dyDescent="0.3">
      <c r="A370" s="3" t="s">
        <v>885</v>
      </c>
      <c r="B370" s="2" t="s">
        <v>886</v>
      </c>
      <c r="C370" s="2" t="s">
        <v>887</v>
      </c>
      <c r="D370" s="2" t="s">
        <v>45</v>
      </c>
      <c r="E370" s="2" t="str">
        <f>IF(ISERROR("VPACT"),"","Range: 0 - 21")</f>
        <v>Range: 0 - 21</v>
      </c>
      <c r="F370" s="4" t="str">
        <f>IF(ISERROR("VPACT"),"",HYPERLINK("#INDEX('Frequencies'!A:A,MATCH(A" &amp; ROW() &amp; ",'Frequencies'!A:A,0))","Frequencies"))</f>
        <v>Frequencies</v>
      </c>
      <c r="G370" s="2"/>
      <c r="H370" s="2">
        <v>72</v>
      </c>
      <c r="I370" s="2"/>
      <c r="J370" s="2"/>
      <c r="K370" s="2"/>
      <c r="L370" s="2"/>
    </row>
    <row r="371" spans="1:12" ht="49.95" customHeight="1" x14ac:dyDescent="0.3">
      <c r="A371" s="3" t="s">
        <v>888</v>
      </c>
      <c r="B371" s="2" t="s">
        <v>889</v>
      </c>
      <c r="C371" s="2" t="s">
        <v>890</v>
      </c>
      <c r="D371" s="2" t="s">
        <v>15</v>
      </c>
      <c r="E371" s="4" t="str">
        <f>IF(ISERROR("WALK"),"",HYPERLINK("#INDEX('Value Lookup'!A:A,MATCH(A" &amp; ROW() &amp; ",'Value Lookup'!A:A,0))","Value Lookup"))</f>
        <v>Value Lookup</v>
      </c>
      <c r="F371" s="4" t="str">
        <f>IF(ISERROR("WALK"),"",HYPERLINK("#INDEX('Frequencies'!A:A,MATCH(A" &amp; ROW() &amp; ",'Frequencies'!A:A,0))","Frequencies"))</f>
        <v>Frequencies</v>
      </c>
      <c r="G371" s="2">
        <v>22</v>
      </c>
      <c r="H371" s="2"/>
      <c r="I371" s="2"/>
      <c r="J371" s="2"/>
      <c r="K371" s="2"/>
      <c r="L371" s="2"/>
    </row>
    <row r="372" spans="1:12" ht="49.95" customHeight="1" x14ac:dyDescent="0.3">
      <c r="A372" s="3" t="s">
        <v>891</v>
      </c>
      <c r="B372" s="2" t="s">
        <v>892</v>
      </c>
      <c r="C372" s="2" t="s">
        <v>893</v>
      </c>
      <c r="D372" s="2" t="s">
        <v>15</v>
      </c>
      <c r="E372" s="4" t="str">
        <f>IF(ISERROR("WALK2SAVE"),"",HYPERLINK("#INDEX('Value Lookup'!A:A,MATCH(A" &amp; ROW() &amp; ",'Value Lookup'!A:A,0))","Value Lookup"))</f>
        <v>Value Lookup</v>
      </c>
      <c r="F372" s="4" t="str">
        <f>IF(ISERROR("WALK2SAVE"),"",HYPERLINK("#INDEX('Frequencies'!A:A,MATCH(A" &amp; ROW() &amp; ",'Frequencies'!A:A,0))","Frequencies"))</f>
        <v>Frequencies</v>
      </c>
      <c r="G372" s="2">
        <v>31</v>
      </c>
      <c r="H372" s="2"/>
      <c r="I372" s="2"/>
      <c r="J372" s="2"/>
      <c r="K372" s="2"/>
      <c r="L372" s="2"/>
    </row>
    <row r="373" spans="1:12" ht="49.95" customHeight="1" x14ac:dyDescent="0.3">
      <c r="A373" s="3" t="s">
        <v>894</v>
      </c>
      <c r="B373" s="2" t="s">
        <v>895</v>
      </c>
      <c r="C373" s="2" t="s">
        <v>896</v>
      </c>
      <c r="D373" s="2" t="s">
        <v>45</v>
      </c>
      <c r="E373" s="2" t="str">
        <f>IF(ISERROR("WALK4EX"),"","Range: 0 - [$NWALKTRIP]")</f>
        <v>Range: 0 - [$NWALKTRIP]</v>
      </c>
      <c r="F373" s="4" t="str">
        <f>IF(ISERROR("WALK4EX"),"",HYPERLINK("#INDEX('Frequencies'!A:A,MATCH(A" &amp; ROW() &amp; ",'Frequencies'!A:A,0))","Frequencies"))</f>
        <v>Frequencies</v>
      </c>
      <c r="G373" s="2"/>
      <c r="H373" s="2">
        <v>24</v>
      </c>
      <c r="I373" s="2"/>
      <c r="J373" s="2"/>
      <c r="K373" s="2"/>
      <c r="L373" s="2"/>
    </row>
    <row r="374" spans="1:12" ht="49.95" customHeight="1" x14ac:dyDescent="0.3">
      <c r="A374" s="3" t="s">
        <v>897</v>
      </c>
      <c r="B374" s="2" t="s">
        <v>898</v>
      </c>
      <c r="C374" s="2" t="s">
        <v>899</v>
      </c>
      <c r="D374" s="2" t="s">
        <v>15</v>
      </c>
      <c r="E374" s="4" t="str">
        <f>IF(ISERROR("WALK_D"),"",HYPERLINK("#INDEX('Value Lookup'!A:A,MATCH(A" &amp; ROW() &amp; ",'Value Lookup'!A:A,0))","Value Lookup"))</f>
        <v>Value Lookup</v>
      </c>
      <c r="F374" s="4" t="str">
        <f>IF(ISERROR("WALK_D"),"",HYPERLINK("#INDEX('Frequencies'!A:A,MATCH(A" &amp; ROW() &amp; ",'Frequencies'!A:A,0))","Frequencies"))</f>
        <v>Frequencies</v>
      </c>
      <c r="G374" s="2"/>
      <c r="H374" s="2">
        <v>37</v>
      </c>
      <c r="I374" s="2"/>
      <c r="J374" s="2"/>
      <c r="K374" s="2"/>
      <c r="L374" s="2"/>
    </row>
    <row r="375" spans="1:12" ht="49.95" customHeight="1" x14ac:dyDescent="0.3">
      <c r="A375" s="3" t="s">
        <v>900</v>
      </c>
      <c r="B375" s="2" t="s">
        <v>901</v>
      </c>
      <c r="C375" s="2" t="s">
        <v>899</v>
      </c>
      <c r="D375" s="2" t="s">
        <v>15</v>
      </c>
      <c r="E375" s="4" t="str">
        <f>IF(ISERROR("WALK_DK"),"",HYPERLINK("#INDEX('Value Lookup'!A:A,MATCH(A" &amp; ROW() &amp; ",'Value Lookup'!A:A,0))","Value Lookup"))</f>
        <v>Value Lookup</v>
      </c>
      <c r="F375" s="4" t="str">
        <f>IF(ISERROR("WALK_DK"),"",HYPERLINK("#INDEX('Frequencies'!A:A,MATCH(A" &amp; ROW() &amp; ",'Frequencies'!A:A,0))","Frequencies"))</f>
        <v>Frequencies</v>
      </c>
      <c r="G375" s="2"/>
      <c r="H375" s="2">
        <v>44</v>
      </c>
      <c r="I375" s="2"/>
      <c r="J375" s="2"/>
      <c r="K375" s="2"/>
      <c r="L375" s="2"/>
    </row>
    <row r="376" spans="1:12" ht="49.95" customHeight="1" x14ac:dyDescent="0.3">
      <c r="A376" s="3" t="s">
        <v>902</v>
      </c>
      <c r="B376" s="2" t="s">
        <v>903</v>
      </c>
      <c r="C376" s="2" t="s">
        <v>899</v>
      </c>
      <c r="D376" s="2" t="s">
        <v>15</v>
      </c>
      <c r="E376" s="4" t="str">
        <f>IF(ISERROR("WALK_E"),"",HYPERLINK("#INDEX('Value Lookup'!A:A,MATCH(A" &amp; ROW() &amp; ",'Value Lookup'!A:A,0))","Value Lookup"))</f>
        <v>Value Lookup</v>
      </c>
      <c r="F376" s="4" t="str">
        <f>IF(ISERROR("WALK_E"),"",HYPERLINK("#INDEX('Frequencies'!A:A,MATCH(A" &amp; ROW() &amp; ",'Frequencies'!A:A,0))","Frequencies"))</f>
        <v>Frequencies</v>
      </c>
      <c r="G376" s="2"/>
      <c r="H376" s="2">
        <v>38</v>
      </c>
      <c r="I376" s="2"/>
      <c r="J376" s="2"/>
      <c r="K376" s="2"/>
      <c r="L376" s="2"/>
    </row>
    <row r="377" spans="1:12" ht="49.95" customHeight="1" x14ac:dyDescent="0.3">
      <c r="A377" s="3" t="s">
        <v>904</v>
      </c>
      <c r="B377" s="2" t="s">
        <v>905</v>
      </c>
      <c r="C377" s="2" t="s">
        <v>899</v>
      </c>
      <c r="D377" s="2" t="s">
        <v>15</v>
      </c>
      <c r="E377" s="4" t="str">
        <f>IF(ISERROR("WALK_F"),"",HYPERLINK("#INDEX('Value Lookup'!A:A,MATCH(A" &amp; ROW() &amp; ",'Value Lookup'!A:A,0))","Value Lookup"))</f>
        <v>Value Lookup</v>
      </c>
      <c r="F377" s="4" t="str">
        <f>IF(ISERROR("WALK_F"),"",HYPERLINK("#INDEX('Frequencies'!A:A,MATCH(A" &amp; ROW() &amp; ",'Frequencies'!A:A,0))","Frequencies"))</f>
        <v>Frequencies</v>
      </c>
      <c r="G377" s="2"/>
      <c r="H377" s="2">
        <v>39</v>
      </c>
      <c r="I377" s="2"/>
      <c r="J377" s="2"/>
      <c r="K377" s="2"/>
      <c r="L377" s="2"/>
    </row>
    <row r="378" spans="1:12" ht="49.95" customHeight="1" x14ac:dyDescent="0.3">
      <c r="A378" s="3" t="s">
        <v>906</v>
      </c>
      <c r="B378" s="2" t="s">
        <v>907</v>
      </c>
      <c r="C378" s="2" t="s">
        <v>899</v>
      </c>
      <c r="D378" s="2" t="s">
        <v>15</v>
      </c>
      <c r="E378" s="4" t="str">
        <f>IF(ISERROR("WALK_G"),"",HYPERLINK("#INDEX('Value Lookup'!A:A,MATCH(A" &amp; ROW() &amp; ",'Value Lookup'!A:A,0))","Value Lookup"))</f>
        <v>Value Lookup</v>
      </c>
      <c r="F378" s="4" t="str">
        <f>IF(ISERROR("WALK_G"),"",HYPERLINK("#INDEX('Frequencies'!A:A,MATCH(A" &amp; ROW() &amp; ",'Frequencies'!A:A,0))","Frequencies"))</f>
        <v>Frequencies</v>
      </c>
      <c r="G378" s="2"/>
      <c r="H378" s="2">
        <v>40</v>
      </c>
      <c r="I378" s="2"/>
      <c r="J378" s="2"/>
      <c r="K378" s="2"/>
      <c r="L378" s="2"/>
    </row>
    <row r="379" spans="1:12" ht="49.95" customHeight="1" x14ac:dyDescent="0.3">
      <c r="A379" s="3" t="s">
        <v>908</v>
      </c>
      <c r="B379" s="2" t="s">
        <v>909</v>
      </c>
      <c r="C379" s="2" t="s">
        <v>899</v>
      </c>
      <c r="D379" s="2" t="s">
        <v>15</v>
      </c>
      <c r="E379" s="4" t="str">
        <f>IF(ISERROR("WALK_K"),"",HYPERLINK("#INDEX('Value Lookup'!A:A,MATCH(A" &amp; ROW() &amp; ",'Value Lookup'!A:A,0))","Value Lookup"))</f>
        <v>Value Lookup</v>
      </c>
      <c r="F379" s="4" t="str">
        <f>IF(ISERROR("WALK_K"),"",HYPERLINK("#INDEX('Frequencies'!A:A,MATCH(A" &amp; ROW() &amp; ",'Frequencies'!A:A,0))","Frequencies"))</f>
        <v>Frequencies</v>
      </c>
      <c r="G379" s="2"/>
      <c r="H379" s="2">
        <v>41</v>
      </c>
      <c r="I379" s="2"/>
      <c r="J379" s="2"/>
      <c r="K379" s="2"/>
      <c r="L379" s="2"/>
    </row>
    <row r="380" spans="1:12" ht="49.95" customHeight="1" x14ac:dyDescent="0.3">
      <c r="A380" s="3" t="s">
        <v>910</v>
      </c>
      <c r="B380" s="2" t="s">
        <v>911</v>
      </c>
      <c r="C380" s="2" t="s">
        <v>899</v>
      </c>
      <c r="D380" s="2" t="s">
        <v>15</v>
      </c>
      <c r="E380" s="4" t="str">
        <f>IF(ISERROR("WALK_Q"),"",HYPERLINK("#INDEX('Value Lookup'!A:A,MATCH(A" &amp; ROW() &amp; ",'Value Lookup'!A:A,0))","Value Lookup"))</f>
        <v>Value Lookup</v>
      </c>
      <c r="F380" s="4" t="str">
        <f>IF(ISERROR("WALK_Q"),"",HYPERLINK("#INDEX('Frequencies'!A:A,MATCH(A" &amp; ROW() &amp; ",'Frequencies'!A:A,0))","Frequencies"))</f>
        <v>Frequencies</v>
      </c>
      <c r="G380" s="2"/>
      <c r="H380" s="2">
        <v>42</v>
      </c>
      <c r="I380" s="2"/>
      <c r="J380" s="2"/>
      <c r="K380" s="2"/>
      <c r="L380" s="2"/>
    </row>
    <row r="381" spans="1:12" ht="49.95" customHeight="1" x14ac:dyDescent="0.3">
      <c r="A381" s="3" t="s">
        <v>912</v>
      </c>
      <c r="B381" s="2" t="s">
        <v>913</v>
      </c>
      <c r="C381" s="2" t="s">
        <v>899</v>
      </c>
      <c r="D381" s="2" t="s">
        <v>15</v>
      </c>
      <c r="E381" s="4" t="str">
        <f>IF(ISERROR("WALK_RF"),"",HYPERLINK("#INDEX('Value Lookup'!A:A,MATCH(A" &amp; ROW() &amp; ",'Value Lookup'!A:A,0))","Value Lookup"))</f>
        <v>Value Lookup</v>
      </c>
      <c r="F381" s="4" t="str">
        <f>IF(ISERROR("WALK_RF"),"",HYPERLINK("#INDEX('Frequencies'!A:A,MATCH(A" &amp; ROW() &amp; ",'Frequencies'!A:A,0))","Frequencies"))</f>
        <v>Frequencies</v>
      </c>
      <c r="G381" s="2"/>
      <c r="H381" s="2">
        <v>45</v>
      </c>
      <c r="I381" s="2"/>
      <c r="J381" s="2"/>
      <c r="K381" s="2"/>
      <c r="L381" s="2"/>
    </row>
    <row r="382" spans="1:12" ht="49.95" customHeight="1" x14ac:dyDescent="0.3">
      <c r="A382" s="3" t="s">
        <v>914</v>
      </c>
      <c r="B382" s="2" t="s">
        <v>915</v>
      </c>
      <c r="C382" s="2" t="s">
        <v>899</v>
      </c>
      <c r="D382" s="2" t="s">
        <v>15</v>
      </c>
      <c r="E382" s="4" t="str">
        <f>IF(ISERROR("WALK_Z"),"",HYPERLINK("#INDEX('Value Lookup'!A:A,MATCH(A" &amp; ROW() &amp; ",'Value Lookup'!A:A,0))","Value Lookup"))</f>
        <v>Value Lookup</v>
      </c>
      <c r="F382" s="4" t="str">
        <f>IF(ISERROR("WALK_Z"),"",HYPERLINK("#INDEX('Frequencies'!A:A,MATCH(A" &amp; ROW() &amp; ",'Frequencies'!A:A,0))","Frequencies"))</f>
        <v>Frequencies</v>
      </c>
      <c r="G382" s="2"/>
      <c r="H382" s="2">
        <v>43</v>
      </c>
      <c r="I382" s="2"/>
      <c r="J382" s="2"/>
      <c r="K382" s="2"/>
      <c r="L382" s="2"/>
    </row>
    <row r="383" spans="1:12" ht="49.95" customHeight="1" x14ac:dyDescent="0.3">
      <c r="A383" s="3" t="s">
        <v>916</v>
      </c>
      <c r="B383" s="2" t="s">
        <v>917</v>
      </c>
      <c r="C383" s="2" t="s">
        <v>419</v>
      </c>
      <c r="D383" s="2" t="s">
        <v>15</v>
      </c>
      <c r="E383" s="4" t="str">
        <f>IF(ISERROR("W_CANE"),"",HYPERLINK("#INDEX('Value Lookup'!A:A,MATCH(A" &amp; ROW() &amp; ",'Value Lookup'!A:A,0))","Value Lookup"))</f>
        <v>Value Lookup</v>
      </c>
      <c r="F383" s="4" t="str">
        <f>IF(ISERROR("W_CANE"),"",HYPERLINK("#INDEX('Frequencies'!A:A,MATCH(A" &amp; ROW() &amp; ",'Frequencies'!A:A,0))","Frequencies"))</f>
        <v>Frequencies</v>
      </c>
      <c r="G383" s="2"/>
      <c r="H383" s="2">
        <v>107</v>
      </c>
      <c r="I383" s="2"/>
      <c r="J383" s="2"/>
      <c r="K383" s="2"/>
      <c r="L383" s="2"/>
    </row>
    <row r="384" spans="1:12" ht="49.95" customHeight="1" x14ac:dyDescent="0.3">
      <c r="A384" s="3" t="s">
        <v>918</v>
      </c>
      <c r="B384" s="2" t="s">
        <v>919</v>
      </c>
      <c r="C384" s="2" t="s">
        <v>419</v>
      </c>
      <c r="D384" s="2" t="s">
        <v>15</v>
      </c>
      <c r="E384" s="4" t="str">
        <f>IF(ISERROR("W_CHAIR"),"",HYPERLINK("#INDEX('Value Lookup'!A:A,MATCH(A" &amp; ROW() &amp; ",'Value Lookup'!A:A,0))","Value Lookup"))</f>
        <v>Value Lookup</v>
      </c>
      <c r="F384" s="4" t="str">
        <f>IF(ISERROR("W_CHAIR"),"",HYPERLINK("#INDEX('Frequencies'!A:A,MATCH(A" &amp; ROW() &amp; ",'Frequencies'!A:A,0))","Frequencies"))</f>
        <v>Frequencies</v>
      </c>
      <c r="G384" s="2"/>
      <c r="H384" s="2">
        <v>113</v>
      </c>
      <c r="I384" s="2"/>
      <c r="J384" s="2"/>
      <c r="K384" s="2"/>
      <c r="L384" s="2"/>
    </row>
    <row r="385" spans="1:12" ht="49.95" customHeight="1" x14ac:dyDescent="0.3">
      <c r="A385" s="3" t="s">
        <v>920</v>
      </c>
      <c r="B385" s="2" t="s">
        <v>921</v>
      </c>
      <c r="C385" s="2" t="s">
        <v>419</v>
      </c>
      <c r="D385" s="2" t="s">
        <v>15</v>
      </c>
      <c r="E385" s="4" t="str">
        <f>IF(ISERROR("W_CRUTCH"),"",HYPERLINK("#INDEX('Value Lookup'!A:A,MATCH(A" &amp; ROW() &amp; ",'Value Lookup'!A:A,0))","Value Lookup"))</f>
        <v>Value Lookup</v>
      </c>
      <c r="F385" s="4" t="str">
        <f>IF(ISERROR("W_CRUTCH"),"",HYPERLINK("#INDEX('Frequencies'!A:A,MATCH(A" &amp; ROW() &amp; ",'Frequencies'!A:A,0))","Frequencies"))</f>
        <v>Frequencies</v>
      </c>
      <c r="G385" s="2"/>
      <c r="H385" s="2">
        <v>111</v>
      </c>
      <c r="I385" s="2"/>
      <c r="J385" s="2"/>
      <c r="K385" s="2"/>
      <c r="L385" s="2"/>
    </row>
    <row r="386" spans="1:12" ht="49.95" customHeight="1" x14ac:dyDescent="0.3">
      <c r="A386" s="3" t="s">
        <v>922</v>
      </c>
      <c r="B386" s="2" t="s">
        <v>923</v>
      </c>
      <c r="C386" s="2" t="s">
        <v>419</v>
      </c>
      <c r="D386" s="2" t="s">
        <v>15</v>
      </c>
      <c r="E386" s="4" t="str">
        <f>IF(ISERROR("W_DOG"),"",HYPERLINK("#INDEX('Value Lookup'!A:A,MATCH(A" &amp; ROW() &amp; ",'Value Lookup'!A:A,0))","Value Lookup"))</f>
        <v>Value Lookup</v>
      </c>
      <c r="F386" s="4" t="str">
        <f>IF(ISERROR("W_DOG"),"",HYPERLINK("#INDEX('Frequencies'!A:A,MATCH(A" &amp; ROW() &amp; ",'Frequencies'!A:A,0))","Frequencies"))</f>
        <v>Frequencies</v>
      </c>
      <c r="G386" s="2"/>
      <c r="H386" s="2">
        <v>110</v>
      </c>
      <c r="I386" s="2"/>
      <c r="J386" s="2"/>
      <c r="K386" s="2"/>
      <c r="L386" s="2"/>
    </row>
    <row r="387" spans="1:12" ht="49.95" customHeight="1" x14ac:dyDescent="0.3">
      <c r="A387" s="3" t="s">
        <v>924</v>
      </c>
      <c r="B387" s="2" t="s">
        <v>925</v>
      </c>
      <c r="C387" s="2"/>
      <c r="D387" s="2" t="s">
        <v>15</v>
      </c>
      <c r="E387" s="4" t="str">
        <f>IF(ISERROR("WEBUSE17"),"",HYPERLINK("#INDEX('Value Lookup'!A:A,MATCH(A" &amp; ROW() &amp; ",'Value Lookup'!A:A,0))","Value Lookup"))</f>
        <v>Value Lookup</v>
      </c>
      <c r="F387" s="4" t="str">
        <f>IF(ISERROR("WEBUSE17"),"",HYPERLINK("#INDEX('Frequencies'!A:A,MATCH(A" &amp; ROW() &amp; ",'Frequencies'!A:A,0))","Frequencies"))</f>
        <v>Frequencies</v>
      </c>
      <c r="G387" s="2">
        <v>108</v>
      </c>
      <c r="H387" s="2"/>
      <c r="I387" s="2"/>
      <c r="J387" s="2"/>
      <c r="K387" s="2"/>
      <c r="L387" s="2"/>
    </row>
    <row r="388" spans="1:12" ht="49.95" customHeight="1" x14ac:dyDescent="0.3">
      <c r="A388" s="3" t="s">
        <v>926</v>
      </c>
      <c r="B388" s="2" t="s">
        <v>927</v>
      </c>
      <c r="C388" s="2" t="s">
        <v>928</v>
      </c>
      <c r="D388" s="2" t="s">
        <v>15</v>
      </c>
      <c r="E388" s="4" t="str">
        <f>IF(ISERROR("WHODROVE"),"",HYPERLINK("#INDEX('Value Lookup'!A:A,MATCH(A" &amp; ROW() &amp; ",'Value Lookup'!A:A,0))","Value Lookup"))</f>
        <v>Value Lookup</v>
      </c>
      <c r="F388" s="4" t="str">
        <f>IF(ISERROR("WHODROVE"),"",HYPERLINK("#INDEX('Frequencies'!A:A,MATCH(A" &amp; ROW() &amp; ",'Frequencies'!A:A,0))","Frequencies"))</f>
        <v>Frequencies</v>
      </c>
      <c r="G388" s="2"/>
      <c r="H388" s="2"/>
      <c r="I388" s="2"/>
      <c r="J388" s="2">
        <v>33</v>
      </c>
      <c r="K388" s="2"/>
      <c r="L388" s="2"/>
    </row>
    <row r="389" spans="1:12" ht="49.95" customHeight="1" x14ac:dyDescent="0.3">
      <c r="A389" s="3" t="s">
        <v>929</v>
      </c>
      <c r="B389" s="2" t="s">
        <v>930</v>
      </c>
      <c r="C389" s="2" t="s">
        <v>931</v>
      </c>
      <c r="D389" s="2" t="s">
        <v>15</v>
      </c>
      <c r="E389" s="4" t="str">
        <f>IF(ISERROR("WHOMAIN"),"",HYPERLINK("#INDEX('Value Lookup'!A:A,MATCH(A" &amp; ROW() &amp; ",'Value Lookup'!A:A,0))","Value Lookup"))</f>
        <v>Value Lookup</v>
      </c>
      <c r="F389" s="4" t="str">
        <f>IF(ISERROR("WHOMAIN"),"",HYPERLINK("#INDEX('Frequencies'!A:A,MATCH(A" &amp; ROW() &amp; ",'Frequencies'!A:A,0))","Frequencies"))</f>
        <v>Frequencies</v>
      </c>
      <c r="G389" s="2"/>
      <c r="H389" s="2"/>
      <c r="I389" s="2">
        <v>13</v>
      </c>
      <c r="J389" s="2"/>
      <c r="K389" s="2"/>
      <c r="L389" s="2"/>
    </row>
    <row r="390" spans="1:12" ht="49.95" customHeight="1" x14ac:dyDescent="0.3">
      <c r="A390" s="3" t="s">
        <v>932</v>
      </c>
      <c r="B390" s="2" t="s">
        <v>933</v>
      </c>
      <c r="C390" s="2"/>
      <c r="D390" s="2" t="s">
        <v>15</v>
      </c>
      <c r="E390" s="2" t="str">
        <f>IF(ISERROR("WHOPROXY"),"","NA")</f>
        <v>NA</v>
      </c>
      <c r="F390" s="4" t="str">
        <f>IF(ISERROR("WHOPROXY"),"",HYPERLINK("#INDEX('Frequencies'!A:A,MATCH(A" &amp; ROW() &amp; ",'Frequencies'!A:A,0))","Frequencies"))</f>
        <v>Frequencies</v>
      </c>
      <c r="G390" s="2"/>
      <c r="H390" s="2">
        <v>81</v>
      </c>
      <c r="I390" s="2"/>
      <c r="J390" s="2"/>
      <c r="K390" s="2"/>
      <c r="L390" s="2"/>
    </row>
    <row r="391" spans="1:12" ht="49.95" customHeight="1" x14ac:dyDescent="0.3">
      <c r="A391" s="3" t="s">
        <v>934</v>
      </c>
      <c r="B391" s="2" t="s">
        <v>935</v>
      </c>
      <c r="C391" s="2" t="s">
        <v>936</v>
      </c>
      <c r="D391" s="2" t="s">
        <v>15</v>
      </c>
      <c r="E391" s="4" t="str">
        <f>IF(ISERROR("WHYFROM"),"",HYPERLINK("#INDEX('Value Lookup'!A:A,MATCH(A" &amp; ROW() &amp; ",'Value Lookup'!A:A,0))","Value Lookup"))</f>
        <v>Value Lookup</v>
      </c>
      <c r="F391" s="4" t="str">
        <f>IF(ISERROR("WHYFROM"),"",HYPERLINK("#INDEX('Frequencies'!A:A,MATCH(A" &amp; ROW() &amp; ",'Frequencies'!A:A,0))","Frequencies"))</f>
        <v>Frequencies</v>
      </c>
      <c r="G391" s="2"/>
      <c r="H391" s="2"/>
      <c r="I391" s="2"/>
      <c r="J391" s="2">
        <v>34</v>
      </c>
      <c r="K391" s="2"/>
      <c r="L391" s="2"/>
    </row>
    <row r="392" spans="1:12" ht="49.95" customHeight="1" x14ac:dyDescent="0.3">
      <c r="A392" s="3" t="s">
        <v>937</v>
      </c>
      <c r="B392" s="2" t="s">
        <v>938</v>
      </c>
      <c r="C392" s="2" t="s">
        <v>936</v>
      </c>
      <c r="D392" s="2" t="s">
        <v>15</v>
      </c>
      <c r="E392" s="4" t="str">
        <f>IF(ISERROR("WHYFROM_O"),"",HYPERLINK("#INDEX('Value Lookup'!A:A,MATCH(A" &amp; ROW() &amp; ",'Value Lookup'!A:A,0))","Value Lookup"))</f>
        <v>Value Lookup</v>
      </c>
      <c r="F392" s="4" t="str">
        <f>IF(ISERROR("WHYFROM_O"),"",HYPERLINK("#INDEX('Frequencies'!A:A,MATCH(A" &amp; ROW() &amp; ",'Frequencies'!A:A,0))","Frequencies"))</f>
        <v>Frequencies</v>
      </c>
      <c r="G392" s="2"/>
      <c r="H392" s="2"/>
      <c r="I392" s="2"/>
      <c r="J392" s="2">
        <v>35</v>
      </c>
      <c r="K392" s="2"/>
      <c r="L392" s="2"/>
    </row>
    <row r="393" spans="1:12" ht="49.95" customHeight="1" x14ac:dyDescent="0.3">
      <c r="A393" s="3" t="s">
        <v>939</v>
      </c>
      <c r="B393" s="2" t="s">
        <v>940</v>
      </c>
      <c r="C393" s="2" t="s">
        <v>936</v>
      </c>
      <c r="D393" s="2" t="s">
        <v>15</v>
      </c>
      <c r="E393" s="4" t="str">
        <f>IF(ISERROR("WHYTO"),"",HYPERLINK("#INDEX('Value Lookup'!A:A,MATCH(A" &amp; ROW() &amp; ",'Value Lookup'!A:A,0))","Value Lookup"))</f>
        <v>Value Lookup</v>
      </c>
      <c r="F393" s="4" t="str">
        <f>IF(ISERROR("WHYTO"),"",HYPERLINK("#INDEX('Frequencies'!A:A,MATCH(A" &amp; ROW() &amp; ",'Frequencies'!A:A,0))","Frequencies"))</f>
        <v>Frequencies</v>
      </c>
      <c r="G393" s="2"/>
      <c r="H393" s="2"/>
      <c r="I393" s="2"/>
      <c r="J393" s="2">
        <v>36</v>
      </c>
      <c r="K393" s="2"/>
      <c r="L393" s="2"/>
    </row>
    <row r="394" spans="1:12" ht="49.95" customHeight="1" x14ac:dyDescent="0.3">
      <c r="A394" s="3" t="s">
        <v>941</v>
      </c>
      <c r="B394" s="2" t="s">
        <v>942</v>
      </c>
      <c r="C394" s="2"/>
      <c r="D394" s="2" t="s">
        <v>15</v>
      </c>
      <c r="E394" s="4" t="str">
        <f>IF(ISERROR("WHYTRP1S"),"",HYPERLINK("#INDEX('Value Lookup'!A:A,MATCH(A" &amp; ROW() &amp; ",'Value Lookup'!A:A,0))","Value Lookup"))</f>
        <v>Value Lookup</v>
      </c>
      <c r="F394" s="4" t="str">
        <f>IF(ISERROR("WHYTRP1S"),"",HYPERLINK("#INDEX('Frequencies'!A:A,MATCH(A" &amp; ROW() &amp; ",'Frequencies'!A:A,0))","Frequencies"))</f>
        <v>Frequencies</v>
      </c>
      <c r="G394" s="2"/>
      <c r="H394" s="2"/>
      <c r="I394" s="2"/>
      <c r="J394" s="2">
        <v>53</v>
      </c>
      <c r="K394" s="2"/>
      <c r="L394" s="2"/>
    </row>
    <row r="395" spans="1:12" ht="49.95" customHeight="1" x14ac:dyDescent="0.3">
      <c r="A395" s="3" t="s">
        <v>943</v>
      </c>
      <c r="B395" s="2" t="s">
        <v>944</v>
      </c>
      <c r="C395" s="2"/>
      <c r="D395" s="2" t="s">
        <v>15</v>
      </c>
      <c r="E395" s="4" t="str">
        <f>IF(ISERROR("WHYTRP90"),"",HYPERLINK("#INDEX('Value Lookup'!A:A,MATCH(A" &amp; ROW() &amp; ",'Value Lookup'!A:A,0))","Value Lookup"))</f>
        <v>Value Lookup</v>
      </c>
      <c r="F395" s="4" t="str">
        <f>IF(ISERROR("WHYTRP90"),"",HYPERLINK("#INDEX('Frequencies'!A:A,MATCH(A" &amp; ROW() &amp; ",'Frequencies'!A:A,0))","Frequencies"))</f>
        <v>Frequencies</v>
      </c>
      <c r="G395" s="2"/>
      <c r="H395" s="2"/>
      <c r="I395" s="2"/>
      <c r="J395" s="2">
        <v>54</v>
      </c>
      <c r="K395" s="2"/>
      <c r="L395" s="2"/>
    </row>
    <row r="396" spans="1:12" ht="49.95" customHeight="1" x14ac:dyDescent="0.3">
      <c r="A396" s="3" t="s">
        <v>945</v>
      </c>
      <c r="B396" s="2" t="s">
        <v>946</v>
      </c>
      <c r="C396" s="2" t="s">
        <v>936</v>
      </c>
      <c r="D396" s="2" t="s">
        <v>15</v>
      </c>
      <c r="E396" s="4" t="str">
        <f>IF(ISERROR("WHYTRPSP"),"",HYPERLINK("#INDEX('Value Lookup'!A:A,MATCH(A" &amp; ROW() &amp; ",'Value Lookup'!A:A,0))","Value Lookup"))</f>
        <v>Value Lookup</v>
      </c>
      <c r="F396" s="4" t="str">
        <f>IF(ISERROR("WHYTRPSP"),"",HYPERLINK("#INDEX('Frequencies'!A:A,MATCH(A" &amp; ROW() &amp; ",'Frequencies'!A:A,0))","Frequencies"))</f>
        <v>Frequencies</v>
      </c>
      <c r="G396" s="2"/>
      <c r="H396" s="2"/>
      <c r="I396" s="2"/>
      <c r="J396" s="2">
        <v>37</v>
      </c>
      <c r="K396" s="2"/>
      <c r="L396" s="2"/>
    </row>
    <row r="397" spans="1:12" ht="49.95" customHeight="1" x14ac:dyDescent="0.3">
      <c r="A397" s="3" t="s">
        <v>947</v>
      </c>
      <c r="B397" s="2" t="s">
        <v>948</v>
      </c>
      <c r="C397" s="2" t="s">
        <v>949</v>
      </c>
      <c r="D397" s="2" t="s">
        <v>15</v>
      </c>
      <c r="E397" s="4" t="str">
        <f>IF(ISERROR("WKBK_DIST"),"",HYPERLINK("#INDEX('Value Lookup'!A:A,MATCH(A" &amp; ROW() &amp; ",'Value Lookup'!A:A,0))","Value Lookup"))</f>
        <v>Value Lookup</v>
      </c>
      <c r="F397" s="4" t="str">
        <f>IF(ISERROR("WKBK_DIST"),"",HYPERLINK("#INDEX('Frequencies'!A:A,MATCH(A" &amp; ROW() &amp; ",'Frequencies'!A:A,0))","Frequencies"))</f>
        <v>Frequencies</v>
      </c>
      <c r="G397" s="2"/>
      <c r="H397" s="2"/>
      <c r="I397" s="2"/>
      <c r="J397" s="2">
        <v>19</v>
      </c>
      <c r="K397" s="2"/>
      <c r="L397" s="2"/>
    </row>
    <row r="398" spans="1:12" ht="49.95" customHeight="1" x14ac:dyDescent="0.3">
      <c r="A398" s="3" t="s">
        <v>950</v>
      </c>
      <c r="B398" s="2" t="s">
        <v>951</v>
      </c>
      <c r="C398" s="2" t="s">
        <v>396</v>
      </c>
      <c r="D398" s="2" t="s">
        <v>15</v>
      </c>
      <c r="E398" s="4" t="str">
        <f>IF(ISERROR("WKBK_UNIT"),"",HYPERLINK("#INDEX('Value Lookup'!A:A,MATCH(A" &amp; ROW() &amp; ",'Value Lookup'!A:A,0))","Value Lookup"))</f>
        <v>Value Lookup</v>
      </c>
      <c r="F398" s="4" t="str">
        <f>IF(ISERROR("WKBK_UNIT"),"",HYPERLINK("#INDEX('Frequencies'!A:A,MATCH(A" &amp; ROW() &amp; ",'Frequencies'!A:A,0))","Frequencies"))</f>
        <v>Frequencies</v>
      </c>
      <c r="G398" s="2"/>
      <c r="H398" s="2"/>
      <c r="I398" s="2"/>
      <c r="J398" s="2">
        <v>20</v>
      </c>
      <c r="K398" s="2"/>
      <c r="L398" s="2"/>
    </row>
    <row r="399" spans="1:12" ht="49.95" customHeight="1" x14ac:dyDescent="0.3">
      <c r="A399" s="3" t="s">
        <v>952</v>
      </c>
      <c r="B399" s="2" t="s">
        <v>953</v>
      </c>
      <c r="C399" s="2" t="s">
        <v>954</v>
      </c>
      <c r="D399" s="2" t="s">
        <v>45</v>
      </c>
      <c r="E399" s="2" t="str">
        <f>IF(ISERROR("WKFMHMXX"),"","Range: 0 - 31")</f>
        <v>Range: 0 - 31</v>
      </c>
      <c r="F399" s="4" t="str">
        <f>IF(ISERROR("WKFMHMXX"),"",HYPERLINK("#INDEX('Frequencies'!A:A,MATCH(A" &amp; ROW() &amp; ",'Frequencies'!A:A,0))","Frequencies"))</f>
        <v>Frequencies</v>
      </c>
      <c r="G399" s="2"/>
      <c r="H399" s="2">
        <v>60</v>
      </c>
      <c r="I399" s="2"/>
      <c r="J399" s="2"/>
      <c r="K399" s="2"/>
      <c r="L399" s="2"/>
    </row>
    <row r="400" spans="1:12" ht="49.95" customHeight="1" x14ac:dyDescent="0.3">
      <c r="A400" s="3" t="s">
        <v>955</v>
      </c>
      <c r="B400" s="2" t="s">
        <v>956</v>
      </c>
      <c r="C400" s="2" t="s">
        <v>957</v>
      </c>
      <c r="D400" s="2" t="s">
        <v>15</v>
      </c>
      <c r="E400" s="4" t="str">
        <f>IF(ISERROR("WKFTPT"),"",HYPERLINK("#INDEX('Value Lookup'!A:A,MATCH(A" &amp; ROW() &amp; ",'Value Lookup'!A:A,0))","Value Lookup"))</f>
        <v>Value Lookup</v>
      </c>
      <c r="F400" s="4" t="str">
        <f>IF(ISERROR("WKFTPT"),"",HYPERLINK("#INDEX('Frequencies'!A:A,MATCH(A" &amp; ROW() &amp; ",'Frequencies'!A:A,0))","Frequencies"))</f>
        <v>Frequencies</v>
      </c>
      <c r="G400" s="2"/>
      <c r="H400" s="2">
        <v>16</v>
      </c>
      <c r="I400" s="2"/>
      <c r="J400" s="2"/>
      <c r="K400" s="2"/>
      <c r="L400" s="2"/>
    </row>
    <row r="401" spans="1:12" ht="49.95" customHeight="1" x14ac:dyDescent="0.3">
      <c r="A401" s="3" t="s">
        <v>958</v>
      </c>
      <c r="B401" s="2" t="s">
        <v>959</v>
      </c>
      <c r="C401" s="2" t="s">
        <v>960</v>
      </c>
      <c r="D401" s="2" t="s">
        <v>15</v>
      </c>
      <c r="E401" s="4" t="str">
        <f>IF(ISERROR("WKRMHM"),"",HYPERLINK("#INDEX('Value Lookup'!A:A,MATCH(A" &amp; ROW() &amp; ",'Value Lookup'!A:A,0))","Value Lookup"))</f>
        <v>Value Lookup</v>
      </c>
      <c r="F401" s="4" t="str">
        <f>IF(ISERROR("WKRMHM"),"",HYPERLINK("#INDEX('Frequencies'!A:A,MATCH(A" &amp; ROW() &amp; ",'Frequencies'!A:A,0))","Frequencies"))</f>
        <v>Frequencies</v>
      </c>
      <c r="G401" s="2"/>
      <c r="H401" s="2">
        <v>58</v>
      </c>
      <c r="I401" s="2"/>
      <c r="J401" s="2"/>
      <c r="K401" s="2"/>
      <c r="L401" s="2"/>
    </row>
    <row r="402" spans="1:12" ht="49.95" customHeight="1" x14ac:dyDescent="0.3">
      <c r="A402" s="3" t="s">
        <v>961</v>
      </c>
      <c r="B402" s="2" t="s">
        <v>962</v>
      </c>
      <c r="C402" s="2"/>
      <c r="D402" s="2" t="s">
        <v>15</v>
      </c>
      <c r="E402" s="4" t="str">
        <f>IF(ISERROR("WKSTFIPS"),"",HYPERLINK("#INDEX('Value Lookup'!A:A,MATCH(A" &amp; ROW() &amp; ",'Value Lookup'!A:A,0))","Value Lookup"))</f>
        <v>Value Lookup</v>
      </c>
      <c r="F402" s="4" t="str">
        <f>IF(ISERROR("WKSTFIPS"),"",HYPERLINK("#INDEX('Frequencies'!A:A,MATCH(A" &amp; ROW() &amp; ",'Frequencies'!A:A,0))","Frequencies"))</f>
        <v>Frequencies</v>
      </c>
      <c r="G402" s="2"/>
      <c r="H402" s="2">
        <v>139</v>
      </c>
      <c r="I402" s="2"/>
      <c r="J402" s="2"/>
      <c r="K402" s="2"/>
      <c r="L402" s="2"/>
    </row>
    <row r="403" spans="1:12" ht="49.95" customHeight="1" x14ac:dyDescent="0.3">
      <c r="A403" s="3" t="s">
        <v>963</v>
      </c>
      <c r="B403" s="2" t="s">
        <v>964</v>
      </c>
      <c r="C403" s="2" t="s">
        <v>419</v>
      </c>
      <c r="D403" s="2" t="s">
        <v>15</v>
      </c>
      <c r="E403" s="4" t="str">
        <f>IF(ISERROR("W_MTRCHR"),"",HYPERLINK("#INDEX('Value Lookup'!A:A,MATCH(A" &amp; ROW() &amp; ",'Value Lookup'!A:A,0))","Value Lookup"))</f>
        <v>Value Lookup</v>
      </c>
      <c r="F403" s="4" t="str">
        <f>IF(ISERROR("W_MTRCHR"),"",HYPERLINK("#INDEX('Frequencies'!A:A,MATCH(A" &amp; ROW() &amp; ",'Frequencies'!A:A,0))","Frequencies"))</f>
        <v>Frequencies</v>
      </c>
      <c r="G403" s="2"/>
      <c r="H403" s="2">
        <v>114</v>
      </c>
      <c r="I403" s="2"/>
      <c r="J403" s="2"/>
      <c r="K403" s="2"/>
      <c r="L403" s="2"/>
    </row>
    <row r="404" spans="1:12" ht="49.95" customHeight="1" x14ac:dyDescent="0.3">
      <c r="A404" s="3" t="s">
        <v>965</v>
      </c>
      <c r="B404" s="2" t="s">
        <v>966</v>
      </c>
      <c r="C404" s="2" t="s">
        <v>419</v>
      </c>
      <c r="D404" s="2" t="s">
        <v>15</v>
      </c>
      <c r="E404" s="4" t="str">
        <f>IF(ISERROR("W_NONE"),"",HYPERLINK("#INDEX('Value Lookup'!A:A,MATCH(A" &amp; ROW() &amp; ",'Value Lookup'!A:A,0))","Value Lookup"))</f>
        <v>Value Lookup</v>
      </c>
      <c r="F404" s="4" t="str">
        <f>IF(ISERROR("W_NONE"),"",HYPERLINK("#INDEX('Frequencies'!A:A,MATCH(A" &amp; ROW() &amp; ",'Frequencies'!A:A,0))","Frequencies"))</f>
        <v>Frequencies</v>
      </c>
      <c r="G404" s="2"/>
      <c r="H404" s="2">
        <v>106</v>
      </c>
      <c r="I404" s="2"/>
      <c r="J404" s="2"/>
      <c r="K404" s="2"/>
      <c r="L404" s="2"/>
    </row>
    <row r="405" spans="1:12" ht="49.95" customHeight="1" x14ac:dyDescent="0.3">
      <c r="A405" s="3" t="s">
        <v>967</v>
      </c>
      <c r="B405" s="2" t="s">
        <v>968</v>
      </c>
      <c r="C405" s="2"/>
      <c r="D405" s="2" t="s">
        <v>15</v>
      </c>
      <c r="E405" s="4" t="str">
        <f>IF(ISERROR("WORKER"),"",HYPERLINK("#INDEX('Value Lookup'!A:A,MATCH(A" &amp; ROW() &amp; ",'Value Lookup'!A:A,0))","Value Lookup"))</f>
        <v>Value Lookup</v>
      </c>
      <c r="F405" s="4" t="str">
        <f>IF(ISERROR("WORKER"),"",HYPERLINK("#INDEX('Frequencies'!A:A,MATCH(A" &amp; ROW() &amp; ",'Frequencies'!A:A,0))","Frequencies"))</f>
        <v>Frequencies</v>
      </c>
      <c r="G405" s="2"/>
      <c r="H405" s="2">
        <v>132</v>
      </c>
      <c r="I405" s="2"/>
      <c r="J405" s="2"/>
      <c r="K405" s="2"/>
      <c r="L405" s="2"/>
    </row>
    <row r="406" spans="1:12" ht="49.95" customHeight="1" x14ac:dyDescent="0.3">
      <c r="A406" s="3" t="s">
        <v>969</v>
      </c>
      <c r="B406" s="2" t="s">
        <v>970</v>
      </c>
      <c r="C406" s="2"/>
      <c r="D406" s="2" t="s">
        <v>15</v>
      </c>
      <c r="E406" s="2" t="str">
        <f>IF(ISERROR("WORKER_IMP"),"","NA")</f>
        <v>NA</v>
      </c>
      <c r="F406" s="4" t="str">
        <f>IF(ISERROR("WORKER_IMP"),"",HYPERLINK("#INDEX('Frequencies'!A:A,MATCH(A" &amp; ROW() &amp; ",'Frequencies'!A:A,0))","Frequencies"))</f>
        <v>Frequencies</v>
      </c>
      <c r="G406" s="2"/>
      <c r="H406" s="2">
        <v>152</v>
      </c>
      <c r="I406" s="2"/>
      <c r="J406" s="2"/>
      <c r="K406" s="2"/>
      <c r="L406" s="2"/>
    </row>
    <row r="407" spans="1:12" ht="49.95" customHeight="1" x14ac:dyDescent="0.3">
      <c r="A407" s="3" t="s">
        <v>971</v>
      </c>
      <c r="B407" s="2" t="s">
        <v>972</v>
      </c>
      <c r="C407" s="2"/>
      <c r="D407" s="2" t="s">
        <v>15</v>
      </c>
      <c r="E407" s="4" t="str">
        <f>IF(ISERROR("WRKAMPM"),"",HYPERLINK("#INDEX('Value Lookup'!A:A,MATCH(A" &amp; ROW() &amp; ",'Value Lookup'!A:A,0))","Value Lookup"))</f>
        <v>Value Lookup</v>
      </c>
      <c r="F407" s="4" t="str">
        <f>IF(ISERROR("WRKAMPM"),"",HYPERLINK("#INDEX('Frequencies'!A:A,MATCH(A" &amp; ROW() &amp; ",'Frequencies'!A:A,0))","Frequencies"))</f>
        <v>Frequencies</v>
      </c>
      <c r="G407" s="2"/>
      <c r="H407" s="2">
        <v>57</v>
      </c>
      <c r="I407" s="2"/>
      <c r="J407" s="2"/>
      <c r="K407" s="2"/>
      <c r="L407" s="2"/>
    </row>
    <row r="408" spans="1:12" ht="49.95" customHeight="1" x14ac:dyDescent="0.3">
      <c r="A408" s="3" t="s">
        <v>973</v>
      </c>
      <c r="B408" s="2" t="s">
        <v>974</v>
      </c>
      <c r="C408" s="2"/>
      <c r="D408" s="2" t="s">
        <v>45</v>
      </c>
      <c r="E408" s="2" t="str">
        <f>IF(ISERROR("WRKCOUNT"),"","NA")</f>
        <v>NA</v>
      </c>
      <c r="F408" s="4" t="str">
        <f>IF(ISERROR("WRKCOUNT"),"",HYPERLINK("#INDEX('Frequencies'!A:A,MATCH(A" &amp; ROW() &amp; ",'Frequencies'!A:A,0))","Frequencies"))</f>
        <v>Frequencies</v>
      </c>
      <c r="G408" s="2">
        <v>72</v>
      </c>
      <c r="H408" s="2"/>
      <c r="I408" s="2"/>
      <c r="J408" s="2"/>
      <c r="K408" s="2"/>
      <c r="L408" s="2"/>
    </row>
    <row r="409" spans="1:12" ht="49.95" customHeight="1" x14ac:dyDescent="0.3">
      <c r="A409" s="3" t="s">
        <v>975</v>
      </c>
      <c r="B409" s="2" t="s">
        <v>976</v>
      </c>
      <c r="C409" s="2" t="s">
        <v>977</v>
      </c>
      <c r="D409" s="2" t="s">
        <v>15</v>
      </c>
      <c r="E409" s="4" t="str">
        <f>IF(ISERROR("WRK_HOME"),"",HYPERLINK("#INDEX('Value Lookup'!A:A,MATCH(A" &amp; ROW() &amp; ",'Value Lookup'!A:A,0))","Value Lookup"))</f>
        <v>Value Lookup</v>
      </c>
      <c r="F409" s="4" t="str">
        <f>IF(ISERROR("WRK_HOME"),"",HYPERLINK("#INDEX('Frequencies'!A:A,MATCH(A" &amp; ROW() &amp; ",'Frequencies'!A:A,0))","Frequencies"))</f>
        <v>Frequencies</v>
      </c>
      <c r="G409" s="2"/>
      <c r="H409" s="2">
        <v>15</v>
      </c>
      <c r="I409" s="2"/>
      <c r="J409" s="2"/>
      <c r="K409" s="2"/>
      <c r="L409" s="2"/>
    </row>
    <row r="410" spans="1:12" ht="49.95" customHeight="1" x14ac:dyDescent="0.3">
      <c r="A410" s="3" t="s">
        <v>978</v>
      </c>
      <c r="B410" s="2" t="s">
        <v>979</v>
      </c>
      <c r="C410" s="2"/>
      <c r="D410" s="2" t="s">
        <v>15</v>
      </c>
      <c r="E410" s="4" t="str">
        <f>IF(ISERROR("WRKHR"),"",HYPERLINK("#INDEX('Value Lookup'!A:A,MATCH(A" &amp; ROW() &amp; ",'Value Lookup'!A:A,0))","Value Lookup"))</f>
        <v>Value Lookup</v>
      </c>
      <c r="F410" s="4" t="str">
        <f>IF(ISERROR("WRKHR"),"",HYPERLINK("#INDEX('Frequencies'!A:A,MATCH(A" &amp; ROW() &amp; ",'Frequencies'!A:A,0))","Frequencies"))</f>
        <v>Frequencies</v>
      </c>
      <c r="G410" s="2"/>
      <c r="H410" s="2">
        <v>55</v>
      </c>
      <c r="I410" s="2"/>
      <c r="J410" s="2"/>
      <c r="K410" s="2"/>
      <c r="L410" s="2"/>
    </row>
    <row r="411" spans="1:12" ht="49.95" customHeight="1" x14ac:dyDescent="0.3">
      <c r="A411" s="3" t="s">
        <v>980</v>
      </c>
      <c r="B411" s="2" t="s">
        <v>981</v>
      </c>
      <c r="C411" s="2"/>
      <c r="D411" s="2" t="s">
        <v>15</v>
      </c>
      <c r="E411" s="4" t="str">
        <f>IF(ISERROR("WRKMIN"),"",HYPERLINK("#INDEX('Value Lookup'!A:A,MATCH(A" &amp; ROW() &amp; ",'Value Lookup'!A:A,0))","Value Lookup"))</f>
        <v>Value Lookup</v>
      </c>
      <c r="F411" s="4" t="str">
        <f>IF(ISERROR("WRKMIN"),"",HYPERLINK("#INDEX('Frequencies'!A:A,MATCH(A" &amp; ROW() &amp; ",'Frequencies'!A:A,0))","Frequencies"))</f>
        <v>Frequencies</v>
      </c>
      <c r="G411" s="2"/>
      <c r="H411" s="2">
        <v>56</v>
      </c>
      <c r="I411" s="2"/>
      <c r="J411" s="2"/>
      <c r="K411" s="2"/>
      <c r="L411" s="2"/>
    </row>
    <row r="412" spans="1:12" ht="49.95" customHeight="1" x14ac:dyDescent="0.3">
      <c r="A412" s="3" t="s">
        <v>982</v>
      </c>
      <c r="B412" s="2" t="s">
        <v>983</v>
      </c>
      <c r="C412" s="2" t="s">
        <v>984</v>
      </c>
      <c r="D412" s="2" t="s">
        <v>15</v>
      </c>
      <c r="E412" s="4" t="str">
        <f>IF(ISERROR("WRKTIME"),"",HYPERLINK("#INDEX('Value Lookup'!A:A,MATCH(A" &amp; ROW() &amp; ",'Value Lookup'!A:A,0))","Value Lookup"))</f>
        <v>Value Lookup</v>
      </c>
      <c r="F412" s="4" t="str">
        <f>IF(ISERROR("WRKTIME"),"",HYPERLINK("#INDEX('Frequencies'!A:A,MATCH(A" &amp; ROW() &amp; ",'Frequencies'!A:A,0))","Frequencies"))</f>
        <v>Frequencies</v>
      </c>
      <c r="G412" s="2"/>
      <c r="H412" s="2">
        <v>54</v>
      </c>
      <c r="I412" s="2"/>
      <c r="J412" s="2"/>
      <c r="K412" s="2"/>
      <c r="L412" s="2"/>
    </row>
    <row r="413" spans="1:12" ht="49.95" customHeight="1" x14ac:dyDescent="0.3">
      <c r="A413" s="3" t="s">
        <v>985</v>
      </c>
      <c r="B413" s="2" t="s">
        <v>986</v>
      </c>
      <c r="C413" s="2" t="s">
        <v>987</v>
      </c>
      <c r="D413" s="2" t="s">
        <v>15</v>
      </c>
      <c r="E413" s="4" t="str">
        <f>IF(ISERROR("WRKTRANS"),"",HYPERLINK("#INDEX('Value Lookup'!A:A,MATCH(A" &amp; ROW() &amp; ",'Value Lookup'!A:A,0))","Value Lookup"))</f>
        <v>Value Lookup</v>
      </c>
      <c r="F413" s="4" t="str">
        <f>IF(ISERROR("WRKTRANS"),"",HYPERLINK("#INDEX('Frequencies'!A:A,MATCH(A" &amp; ROW() &amp; ",'Frequencies'!A:A,0))","Frequencies"))</f>
        <v>Frequencies</v>
      </c>
      <c r="G413" s="2"/>
      <c r="H413" s="2">
        <v>17</v>
      </c>
      <c r="I413" s="2"/>
      <c r="J413" s="2"/>
      <c r="K413" s="2"/>
      <c r="L413" s="2"/>
    </row>
    <row r="414" spans="1:12" ht="49.95" customHeight="1" x14ac:dyDescent="0.3">
      <c r="A414" s="3" t="s">
        <v>988</v>
      </c>
      <c r="B414" s="2" t="s">
        <v>989</v>
      </c>
      <c r="C414" s="2" t="s">
        <v>990</v>
      </c>
      <c r="D414" s="2" t="s">
        <v>15</v>
      </c>
      <c r="E414" s="4" t="str">
        <f>IF(ISERROR("WRKTRNOS"),"",HYPERLINK("#INDEX('Value Lookup'!A:A,MATCH(A" &amp; ROW() &amp; ",'Value Lookup'!A:A,0))","Value Lookup"))</f>
        <v>Value Lookup</v>
      </c>
      <c r="F414" s="4" t="str">
        <f>IF(ISERROR("WRKTRNOS"),"",HYPERLINK("#INDEX('Frequencies'!A:A,MATCH(A" &amp; ROW() &amp; ",'Frequencies'!A:A,0))","Frequencies"))</f>
        <v>Frequencies</v>
      </c>
      <c r="G414" s="2"/>
      <c r="H414" s="2">
        <v>18</v>
      </c>
      <c r="I414" s="2"/>
      <c r="J414" s="2"/>
      <c r="K414" s="2"/>
      <c r="L414" s="2"/>
    </row>
    <row r="415" spans="1:12" ht="49.95" customHeight="1" x14ac:dyDescent="0.3">
      <c r="A415" s="3" t="s">
        <v>991</v>
      </c>
      <c r="B415" s="2" t="s">
        <v>992</v>
      </c>
      <c r="C415" s="2" t="s">
        <v>419</v>
      </c>
      <c r="D415" s="2" t="s">
        <v>15</v>
      </c>
      <c r="E415" s="4" t="str">
        <f>IF(ISERROR("W_SCOOTR"),"",HYPERLINK("#INDEX('Value Lookup'!A:A,MATCH(A" &amp; ROW() &amp; ",'Value Lookup'!A:A,0))","Value Lookup"))</f>
        <v>Value Lookup</v>
      </c>
      <c r="F415" s="4" t="str">
        <f>IF(ISERROR("W_SCOOTR"),"",HYPERLINK("#INDEX('Frequencies'!A:A,MATCH(A" &amp; ROW() &amp; ",'Frequencies'!A:A,0))","Frequencies"))</f>
        <v>Frequencies</v>
      </c>
      <c r="G415" s="2"/>
      <c r="H415" s="2">
        <v>112</v>
      </c>
      <c r="I415" s="2"/>
      <c r="J415" s="2"/>
      <c r="K415" s="2"/>
      <c r="L415" s="2"/>
    </row>
    <row r="416" spans="1:12" ht="49.95" customHeight="1" x14ac:dyDescent="0.3">
      <c r="A416" s="3" t="s">
        <v>993</v>
      </c>
      <c r="B416" s="2" t="s">
        <v>994</v>
      </c>
      <c r="C416" s="2" t="s">
        <v>419</v>
      </c>
      <c r="D416" s="2" t="s">
        <v>15</v>
      </c>
      <c r="E416" s="4" t="str">
        <f>IF(ISERROR("W_WHCANE"),"",HYPERLINK("#INDEX('Value Lookup'!A:A,MATCH(A" &amp; ROW() &amp; ",'Value Lookup'!A:A,0))","Value Lookup"))</f>
        <v>Value Lookup</v>
      </c>
      <c r="F416" s="4" t="str">
        <f>IF(ISERROR("W_WHCANE"),"",HYPERLINK("#INDEX('Frequencies'!A:A,MATCH(A" &amp; ROW() &amp; ",'Frequencies'!A:A,0))","Frequencies"))</f>
        <v>Frequencies</v>
      </c>
      <c r="G416" s="2"/>
      <c r="H416" s="2">
        <v>109</v>
      </c>
      <c r="I416" s="2"/>
      <c r="J416" s="2"/>
      <c r="K416" s="2"/>
      <c r="L416" s="2"/>
    </row>
    <row r="417" spans="1:12" ht="49.95" customHeight="1" x14ac:dyDescent="0.3">
      <c r="A417" s="3" t="s">
        <v>995</v>
      </c>
      <c r="B417" s="2" t="s">
        <v>996</v>
      </c>
      <c r="C417" s="2" t="s">
        <v>419</v>
      </c>
      <c r="D417" s="2" t="s">
        <v>15</v>
      </c>
      <c r="E417" s="4" t="str">
        <f>IF(ISERROR("W_WLKR"),"",HYPERLINK("#INDEX('Value Lookup'!A:A,MATCH(A" &amp; ROW() &amp; ",'Value Lookup'!A:A,0))","Value Lookup"))</f>
        <v>Value Lookup</v>
      </c>
      <c r="F417" s="4" t="str">
        <f>IF(ISERROR("W_WLKR"),"",HYPERLINK("#INDEX('Frequencies'!A:A,MATCH(A" &amp; ROW() &amp; ",'Frequencies'!A:A,0))","Frequencies"))</f>
        <v>Frequencies</v>
      </c>
      <c r="G417" s="2"/>
      <c r="H417" s="2">
        <v>108</v>
      </c>
      <c r="I417" s="2"/>
      <c r="J417" s="2"/>
      <c r="K417" s="2"/>
      <c r="L417" s="2"/>
    </row>
    <row r="418" spans="1:12" ht="49.95" customHeight="1" x14ac:dyDescent="0.3">
      <c r="A418" s="3" t="s">
        <v>997</v>
      </c>
      <c r="B418" s="2" t="s">
        <v>998</v>
      </c>
      <c r="C418" s="2" t="s">
        <v>186</v>
      </c>
      <c r="D418" s="2" t="s">
        <v>15</v>
      </c>
      <c r="E418" s="4" t="str">
        <f>IF(ISERROR("YEARMIL2"),"",HYPERLINK("#INDEX('Value Lookup'!A:A,MATCH(A" &amp; ROW() &amp; ",'Value Lookup'!A:A,0))","Value Lookup"))</f>
        <v>Value Lookup</v>
      </c>
      <c r="F418" s="4" t="str">
        <f>IF(ISERROR("YEARMIL2"),"",HYPERLINK("#INDEX('Frequencies'!A:A,MATCH(A" &amp; ROW() &amp; ",'Frequencies'!A:A,0))","Frequencies"))</f>
        <v>Frequencies</v>
      </c>
      <c r="G418" s="2"/>
      <c r="H418" s="2">
        <v>79</v>
      </c>
      <c r="I418" s="2"/>
      <c r="J418" s="2"/>
      <c r="K418" s="2"/>
      <c r="L418" s="2"/>
    </row>
    <row r="419" spans="1:12" ht="49.95" customHeight="1" x14ac:dyDescent="0.3">
      <c r="A419" s="3" t="s">
        <v>999</v>
      </c>
      <c r="B419" s="2" t="s">
        <v>1000</v>
      </c>
      <c r="C419" s="2" t="s">
        <v>1001</v>
      </c>
      <c r="D419" s="2" t="s">
        <v>45</v>
      </c>
      <c r="E419" s="2" t="str">
        <f>IF(ISERROR("YEARMILE"),"","Range: 0 - 200000")</f>
        <v>Range: 0 - 200000</v>
      </c>
      <c r="F419" s="4" t="str">
        <f>IF(ISERROR("YEARMILE"),"",HYPERLINK("#INDEX('Frequencies'!A:A,MATCH(A" &amp; ROW() &amp; ",'Frequencies'!A:A,0))","Frequencies"))</f>
        <v>Frequencies</v>
      </c>
      <c r="G419" s="2"/>
      <c r="H419" s="2">
        <v>77</v>
      </c>
      <c r="I419" s="2"/>
      <c r="J419" s="2"/>
      <c r="K419" s="2"/>
      <c r="L419" s="2"/>
    </row>
    <row r="420" spans="1:12" ht="49.95" customHeight="1" x14ac:dyDescent="0.3">
      <c r="A420" s="3" t="s">
        <v>1002</v>
      </c>
      <c r="B420" s="2" t="s">
        <v>1003</v>
      </c>
      <c r="C420" s="2"/>
      <c r="D420" s="2" t="s">
        <v>45</v>
      </c>
      <c r="E420" s="2" t="str">
        <f>IF(ISERROR("YOUNGCHILD"),"","NA")</f>
        <v>NA</v>
      </c>
      <c r="F420" s="4" t="str">
        <f>IF(ISERROR("YOUNGCHILD"),"",HYPERLINK("#INDEX('Frequencies'!A:A,MATCH(A" &amp; ROW() &amp; ",'Frequencies'!A:A,0))","Frequencies"))</f>
        <v>Frequencies</v>
      </c>
      <c r="G420" s="2">
        <v>71</v>
      </c>
      <c r="H420" s="2"/>
      <c r="I420" s="2"/>
      <c r="J420" s="2"/>
      <c r="K420" s="2"/>
      <c r="L420" s="2"/>
    </row>
    <row r="421" spans="1:12" ht="49.95" customHeight="1" x14ac:dyDescent="0.3">
      <c r="A421" s="3" t="s">
        <v>1004</v>
      </c>
      <c r="B421" s="2" t="s">
        <v>1005</v>
      </c>
      <c r="C421" s="2" t="s">
        <v>1006</v>
      </c>
      <c r="D421" s="2" t="s">
        <v>45</v>
      </c>
      <c r="E421" s="2" t="str">
        <f>IF(ISERROR("YRTOUS"),"","Range: [$WHENTOUSLOWERRANGE:C] - [$WHENTOUSUPPERRANGE:C]")</f>
        <v>Range: [$WHENTOUSLOWERRANGE:C] - [$WHENTOUSUPPERRANGE:C]</v>
      </c>
      <c r="F421" s="4" t="str">
        <f>IF(ISERROR("YRTOUS"),"",HYPERLINK("#INDEX('Frequencies'!A:A,MATCH(A" &amp; ROW() &amp; ",'Frequencies'!A:A,0))","Frequencies"))</f>
        <v>Frequencies</v>
      </c>
      <c r="G421" s="2"/>
      <c r="H421" s="2">
        <v>75</v>
      </c>
      <c r="I421" s="2"/>
      <c r="J421" s="2"/>
      <c r="K421" s="2"/>
      <c r="L421" s="2"/>
    </row>
    <row r="422" spans="1:12" ht="49.95" customHeight="1" x14ac:dyDescent="0.3">
      <c r="A422" s="3" t="s">
        <v>1007</v>
      </c>
      <c r="B422" s="2" t="s">
        <v>1008</v>
      </c>
      <c r="C422" s="2" t="s">
        <v>1009</v>
      </c>
      <c r="D422" s="2" t="s">
        <v>15</v>
      </c>
      <c r="E422" s="4" t="str">
        <f>IF(ISERROR("YRTOUS2"),"",HYPERLINK("#INDEX('Value Lookup'!A:A,MATCH(A" &amp; ROW() &amp; ",'Value Lookup'!A:A,0))","Value Lookup"))</f>
        <v>Value Lookup</v>
      </c>
      <c r="F422" s="4" t="str">
        <f>IF(ISERROR("YRTOUS2"),"",HYPERLINK("#INDEX('Frequencies'!A:A,MATCH(A" &amp; ROW() &amp; ",'Frequencies'!A:A,0))","Frequencies"))</f>
        <v>Frequencies</v>
      </c>
      <c r="G422" s="2"/>
      <c r="H422" s="2">
        <v>76</v>
      </c>
      <c r="I422" s="2"/>
      <c r="J422" s="2"/>
      <c r="K422" s="2"/>
      <c r="L422" s="2"/>
    </row>
    <row r="423" spans="1:12" ht="49.95" customHeight="1" x14ac:dyDescent="0.3">
      <c r="A423" s="3" t="s">
        <v>1010</v>
      </c>
      <c r="B423" s="2" t="s">
        <v>1011</v>
      </c>
      <c r="C423" s="2"/>
      <c r="D423" s="2" t="s">
        <v>15</v>
      </c>
      <c r="E423" s="4" t="str">
        <f>IF(ISERROR("ZIP"),"",HYPERLINK("#INDEX('Value Lookup'!A:A,MATCH(A" &amp; ROW() &amp; ",'Value Lookup'!A:A,0))","Value Lookup"))</f>
        <v>Value Lookup</v>
      </c>
      <c r="F423" s="4" t="str">
        <f>IF(ISERROR("ZIP"),"",HYPERLINK("#INDEX('Frequencies'!A:A,MATCH(A" &amp; ROW() &amp; ",'Frequencies'!A:A,0))","Frequencies"))</f>
        <v>Frequencies</v>
      </c>
      <c r="G423" s="2"/>
      <c r="H423" s="2"/>
      <c r="I423" s="2"/>
      <c r="J423" s="2"/>
      <c r="K423" s="2">
        <v>11</v>
      </c>
      <c r="L423" s="2"/>
    </row>
  </sheetData>
  <autoFilter ref="A1:L423" xr:uid="{00000000-0009-0000-0000-000000000000}"/>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209"/>
  <sheetViews>
    <sheetView workbookViewId="0">
      <pane ySplit="1" topLeftCell="A2" activePane="bottomLeft" state="frozen"/>
      <selection pane="bottomLeft"/>
    </sheetView>
  </sheetViews>
  <sheetFormatPr defaultRowHeight="14.4" x14ac:dyDescent="0.3"/>
  <cols>
    <col min="1" max="4" width="13.6640625" customWidth="1"/>
  </cols>
  <sheetData>
    <row r="1" spans="1:4" ht="30" customHeight="1" x14ac:dyDescent="0.3">
      <c r="A1" s="1" t="s">
        <v>0</v>
      </c>
      <c r="B1" s="1" t="s">
        <v>1012</v>
      </c>
      <c r="C1" s="1" t="s">
        <v>1013</v>
      </c>
      <c r="D1" s="1" t="s">
        <v>1</v>
      </c>
    </row>
    <row r="2" spans="1:4" ht="13.05" customHeight="1" x14ac:dyDescent="0.3">
      <c r="A2" s="2" t="s">
        <v>12</v>
      </c>
      <c r="B2" s="2" t="s">
        <v>1014</v>
      </c>
      <c r="C2" s="5" t="s">
        <v>1015</v>
      </c>
      <c r="D2" s="2" t="s">
        <v>1016</v>
      </c>
    </row>
    <row r="3" spans="1:4" ht="13.05" customHeight="1" x14ac:dyDescent="0.3">
      <c r="A3" s="2" t="s">
        <v>12</v>
      </c>
      <c r="B3" s="2" t="s">
        <v>1014</v>
      </c>
      <c r="C3" s="5" t="s">
        <v>1017</v>
      </c>
      <c r="D3" s="2" t="s">
        <v>1018</v>
      </c>
    </row>
    <row r="4" spans="1:4" ht="13.05" customHeight="1" x14ac:dyDescent="0.3">
      <c r="A4" s="2" t="s">
        <v>12</v>
      </c>
      <c r="B4" s="2" t="s">
        <v>1014</v>
      </c>
      <c r="C4" s="5" t="s">
        <v>1019</v>
      </c>
      <c r="D4" s="2" t="s">
        <v>1020</v>
      </c>
    </row>
    <row r="5" spans="1:4" ht="13.05" customHeight="1" x14ac:dyDescent="0.3">
      <c r="A5" s="2" t="s">
        <v>12</v>
      </c>
      <c r="B5" s="2" t="s">
        <v>1014</v>
      </c>
      <c r="C5" s="5" t="s">
        <v>1021</v>
      </c>
      <c r="D5" s="2" t="s">
        <v>1022</v>
      </c>
    </row>
    <row r="6" spans="1:4" ht="13.05" customHeight="1" x14ac:dyDescent="0.3">
      <c r="A6" s="2" t="s">
        <v>12</v>
      </c>
      <c r="B6" s="2" t="s">
        <v>1014</v>
      </c>
      <c r="C6" s="5" t="s">
        <v>1023</v>
      </c>
      <c r="D6" s="2" t="s">
        <v>1024</v>
      </c>
    </row>
    <row r="7" spans="1:4" ht="13.05" customHeight="1" x14ac:dyDescent="0.3">
      <c r="A7" s="2" t="s">
        <v>12</v>
      </c>
      <c r="B7" s="2" t="s">
        <v>1014</v>
      </c>
      <c r="C7" s="5" t="s">
        <v>1025</v>
      </c>
      <c r="D7" s="2" t="s">
        <v>1026</v>
      </c>
    </row>
    <row r="8" spans="1:4" ht="13.05" customHeight="1" x14ac:dyDescent="0.3">
      <c r="A8" s="2" t="s">
        <v>12</v>
      </c>
      <c r="B8" s="2" t="s">
        <v>1014</v>
      </c>
      <c r="C8" s="5" t="s">
        <v>1027</v>
      </c>
      <c r="D8" s="2" t="s">
        <v>1028</v>
      </c>
    </row>
    <row r="9" spans="1:4" ht="13.05" customHeight="1" x14ac:dyDescent="0.3">
      <c r="A9" s="2" t="s">
        <v>12</v>
      </c>
      <c r="B9" s="2" t="s">
        <v>1014</v>
      </c>
      <c r="C9" s="5" t="s">
        <v>1029</v>
      </c>
      <c r="D9" s="2" t="s">
        <v>1030</v>
      </c>
    </row>
    <row r="10" spans="1:4" ht="13.05" customHeight="1" x14ac:dyDescent="0.3">
      <c r="A10" s="2" t="s">
        <v>12</v>
      </c>
      <c r="B10" s="2" t="s">
        <v>1014</v>
      </c>
      <c r="C10" s="5" t="s">
        <v>1031</v>
      </c>
      <c r="D10" s="2" t="s">
        <v>1032</v>
      </c>
    </row>
    <row r="11" spans="1:4" ht="13.05" customHeight="1" x14ac:dyDescent="0.3">
      <c r="A11" s="2" t="s">
        <v>16</v>
      </c>
      <c r="B11" s="2" t="s">
        <v>1033</v>
      </c>
      <c r="C11" s="5" t="s">
        <v>1015</v>
      </c>
      <c r="D11" s="2" t="s">
        <v>1016</v>
      </c>
    </row>
    <row r="12" spans="1:4" ht="13.05" customHeight="1" x14ac:dyDescent="0.3">
      <c r="A12" s="2" t="s">
        <v>16</v>
      </c>
      <c r="B12" s="2" t="s">
        <v>1033</v>
      </c>
      <c r="C12" s="5" t="s">
        <v>1017</v>
      </c>
      <c r="D12" s="2" t="s">
        <v>1018</v>
      </c>
    </row>
    <row r="13" spans="1:4" ht="13.05" customHeight="1" x14ac:dyDescent="0.3">
      <c r="A13" s="2" t="s">
        <v>16</v>
      </c>
      <c r="B13" s="2" t="s">
        <v>1033</v>
      </c>
      <c r="C13" s="5" t="s">
        <v>1019</v>
      </c>
      <c r="D13" s="2" t="s">
        <v>1020</v>
      </c>
    </row>
    <row r="14" spans="1:4" ht="13.05" customHeight="1" x14ac:dyDescent="0.3">
      <c r="A14" s="2" t="s">
        <v>16</v>
      </c>
      <c r="B14" s="2" t="s">
        <v>1033</v>
      </c>
      <c r="C14" s="5" t="s">
        <v>1021</v>
      </c>
      <c r="D14" s="2" t="s">
        <v>1034</v>
      </c>
    </row>
    <row r="15" spans="1:4" ht="13.05" customHeight="1" x14ac:dyDescent="0.3">
      <c r="A15" s="2" t="s">
        <v>16</v>
      </c>
      <c r="B15" s="2" t="s">
        <v>1033</v>
      </c>
      <c r="C15" s="5" t="s">
        <v>1023</v>
      </c>
      <c r="D15" s="2" t="s">
        <v>1035</v>
      </c>
    </row>
    <row r="16" spans="1:4" ht="13.05" customHeight="1" x14ac:dyDescent="0.3">
      <c r="A16" s="2" t="s">
        <v>16</v>
      </c>
      <c r="B16" s="2" t="s">
        <v>1033</v>
      </c>
      <c r="C16" s="5" t="s">
        <v>1025</v>
      </c>
      <c r="D16" s="2" t="s">
        <v>1036</v>
      </c>
    </row>
    <row r="17" spans="1:4" ht="13.05" customHeight="1" x14ac:dyDescent="0.3">
      <c r="A17" s="2" t="s">
        <v>16</v>
      </c>
      <c r="B17" s="2" t="s">
        <v>1033</v>
      </c>
      <c r="C17" s="5" t="s">
        <v>1027</v>
      </c>
      <c r="D17" s="2" t="s">
        <v>1037</v>
      </c>
    </row>
    <row r="18" spans="1:4" ht="13.05" customHeight="1" x14ac:dyDescent="0.3">
      <c r="A18" s="2" t="s">
        <v>16</v>
      </c>
      <c r="B18" s="2" t="s">
        <v>1033</v>
      </c>
      <c r="C18" s="5" t="s">
        <v>1029</v>
      </c>
      <c r="D18" s="2" t="s">
        <v>1038</v>
      </c>
    </row>
    <row r="19" spans="1:4" ht="13.05" customHeight="1" x14ac:dyDescent="0.3">
      <c r="A19" s="2" t="s">
        <v>16</v>
      </c>
      <c r="B19" s="2" t="s">
        <v>1033</v>
      </c>
      <c r="C19" s="5" t="s">
        <v>1031</v>
      </c>
      <c r="D19" s="2" t="s">
        <v>1039</v>
      </c>
    </row>
    <row r="20" spans="1:4" ht="13.05" customHeight="1" x14ac:dyDescent="0.3">
      <c r="A20" s="2" t="s">
        <v>16</v>
      </c>
      <c r="B20" s="2" t="s">
        <v>1033</v>
      </c>
      <c r="C20" s="5" t="s">
        <v>1040</v>
      </c>
      <c r="D20" s="2" t="s">
        <v>1041</v>
      </c>
    </row>
    <row r="21" spans="1:4" ht="13.05" customHeight="1" x14ac:dyDescent="0.3">
      <c r="A21" s="2" t="s">
        <v>16</v>
      </c>
      <c r="B21" s="2" t="s">
        <v>1033</v>
      </c>
      <c r="C21" s="5" t="s">
        <v>1042</v>
      </c>
      <c r="D21" s="2" t="s">
        <v>1043</v>
      </c>
    </row>
    <row r="22" spans="1:4" ht="13.05" customHeight="1" x14ac:dyDescent="0.3">
      <c r="A22" s="2" t="s">
        <v>20</v>
      </c>
      <c r="B22" s="2" t="s">
        <v>1014</v>
      </c>
      <c r="C22" s="5" t="s">
        <v>1044</v>
      </c>
      <c r="D22" s="2" t="s">
        <v>1045</v>
      </c>
    </row>
    <row r="23" spans="1:4" ht="13.05" customHeight="1" x14ac:dyDescent="0.3">
      <c r="A23" s="2" t="s">
        <v>20</v>
      </c>
      <c r="B23" s="2" t="s">
        <v>1014</v>
      </c>
      <c r="C23" s="5" t="s">
        <v>1015</v>
      </c>
      <c r="D23" s="2" t="s">
        <v>1016</v>
      </c>
    </row>
    <row r="24" spans="1:4" ht="13.05" customHeight="1" x14ac:dyDescent="0.3">
      <c r="A24" s="2" t="s">
        <v>20</v>
      </c>
      <c r="B24" s="2" t="s">
        <v>1014</v>
      </c>
      <c r="C24" s="5" t="s">
        <v>1017</v>
      </c>
      <c r="D24" s="2" t="s">
        <v>1018</v>
      </c>
    </row>
    <row r="25" spans="1:4" ht="13.05" customHeight="1" x14ac:dyDescent="0.3">
      <c r="A25" s="2" t="s">
        <v>20</v>
      </c>
      <c r="B25" s="2" t="s">
        <v>1014</v>
      </c>
      <c r="C25" s="5" t="s">
        <v>1019</v>
      </c>
      <c r="D25" s="2" t="s">
        <v>1020</v>
      </c>
    </row>
    <row r="26" spans="1:4" ht="13.05" customHeight="1" x14ac:dyDescent="0.3">
      <c r="A26" s="2" t="s">
        <v>20</v>
      </c>
      <c r="B26" s="2" t="s">
        <v>1014</v>
      </c>
      <c r="C26" s="5" t="s">
        <v>1021</v>
      </c>
      <c r="D26" s="2" t="s">
        <v>1046</v>
      </c>
    </row>
    <row r="27" spans="1:4" ht="13.05" customHeight="1" x14ac:dyDescent="0.3">
      <c r="A27" s="2" t="s">
        <v>20</v>
      </c>
      <c r="B27" s="2" t="s">
        <v>1014</v>
      </c>
      <c r="C27" s="5" t="s">
        <v>1023</v>
      </c>
      <c r="D27" s="2" t="s">
        <v>1047</v>
      </c>
    </row>
    <row r="28" spans="1:4" ht="13.05" customHeight="1" x14ac:dyDescent="0.3">
      <c r="A28" s="2" t="s">
        <v>20</v>
      </c>
      <c r="B28" s="2" t="s">
        <v>1014</v>
      </c>
      <c r="C28" s="5" t="s">
        <v>1025</v>
      </c>
      <c r="D28" s="2" t="s">
        <v>1048</v>
      </c>
    </row>
    <row r="29" spans="1:4" ht="13.05" customHeight="1" x14ac:dyDescent="0.3">
      <c r="A29" s="2" t="s">
        <v>20</v>
      </c>
      <c r="B29" s="2" t="s">
        <v>1014</v>
      </c>
      <c r="C29" s="5" t="s">
        <v>1027</v>
      </c>
      <c r="D29" s="2" t="s">
        <v>1049</v>
      </c>
    </row>
    <row r="30" spans="1:4" ht="13.05" customHeight="1" x14ac:dyDescent="0.3">
      <c r="A30" s="2" t="s">
        <v>20</v>
      </c>
      <c r="B30" s="2" t="s">
        <v>1014</v>
      </c>
      <c r="C30" s="5" t="s">
        <v>1029</v>
      </c>
      <c r="D30" s="2" t="s">
        <v>890</v>
      </c>
    </row>
    <row r="31" spans="1:4" ht="13.05" customHeight="1" x14ac:dyDescent="0.3">
      <c r="A31" s="2" t="s">
        <v>20</v>
      </c>
      <c r="B31" s="2" t="s">
        <v>1014</v>
      </c>
      <c r="C31" s="5" t="s">
        <v>1031</v>
      </c>
      <c r="D31" s="2" t="s">
        <v>1050</v>
      </c>
    </row>
    <row r="32" spans="1:4" ht="13.05" customHeight="1" x14ac:dyDescent="0.3">
      <c r="A32" s="2" t="s">
        <v>20</v>
      </c>
      <c r="B32" s="2" t="s">
        <v>1014</v>
      </c>
      <c r="C32" s="5" t="s">
        <v>1040</v>
      </c>
      <c r="D32" s="2" t="s">
        <v>1051</v>
      </c>
    </row>
    <row r="33" spans="1:4" ht="13.05" customHeight="1" x14ac:dyDescent="0.3">
      <c r="A33" s="2" t="s">
        <v>20</v>
      </c>
      <c r="B33" s="2" t="s">
        <v>1014</v>
      </c>
      <c r="C33" s="5" t="s">
        <v>1052</v>
      </c>
      <c r="D33" s="2" t="s">
        <v>1053</v>
      </c>
    </row>
    <row r="34" spans="1:4" ht="13.05" customHeight="1" x14ac:dyDescent="0.3">
      <c r="A34" s="2" t="s">
        <v>23</v>
      </c>
      <c r="B34" s="2" t="s">
        <v>1014</v>
      </c>
      <c r="C34" s="5" t="s">
        <v>1044</v>
      </c>
      <c r="D34" s="2" t="s">
        <v>1045</v>
      </c>
    </row>
    <row r="35" spans="1:4" ht="13.05" customHeight="1" x14ac:dyDescent="0.3">
      <c r="A35" s="2" t="s">
        <v>23</v>
      </c>
      <c r="B35" s="2" t="s">
        <v>1014</v>
      </c>
      <c r="C35" s="5" t="s">
        <v>1015</v>
      </c>
      <c r="D35" s="2" t="s">
        <v>1016</v>
      </c>
    </row>
    <row r="36" spans="1:4" ht="13.05" customHeight="1" x14ac:dyDescent="0.3">
      <c r="A36" s="2" t="s">
        <v>23</v>
      </c>
      <c r="B36" s="2" t="s">
        <v>1014</v>
      </c>
      <c r="C36" s="5" t="s">
        <v>1017</v>
      </c>
      <c r="D36" s="2" t="s">
        <v>1018</v>
      </c>
    </row>
    <row r="37" spans="1:4" ht="13.05" customHeight="1" x14ac:dyDescent="0.3">
      <c r="A37" s="2" t="s">
        <v>23</v>
      </c>
      <c r="B37" s="2" t="s">
        <v>1014</v>
      </c>
      <c r="C37" s="5" t="s">
        <v>1019</v>
      </c>
      <c r="D37" s="2" t="s">
        <v>1020</v>
      </c>
    </row>
    <row r="38" spans="1:4" ht="13.05" customHeight="1" x14ac:dyDescent="0.3">
      <c r="A38" s="2" t="s">
        <v>23</v>
      </c>
      <c r="B38" s="2" t="s">
        <v>1014</v>
      </c>
      <c r="C38" s="5" t="s">
        <v>1021</v>
      </c>
      <c r="D38" s="2" t="s">
        <v>1046</v>
      </c>
    </row>
    <row r="39" spans="1:4" ht="13.05" customHeight="1" x14ac:dyDescent="0.3">
      <c r="A39" s="2" t="s">
        <v>23</v>
      </c>
      <c r="B39" s="2" t="s">
        <v>1014</v>
      </c>
      <c r="C39" s="5" t="s">
        <v>1023</v>
      </c>
      <c r="D39" s="2" t="s">
        <v>1047</v>
      </c>
    </row>
    <row r="40" spans="1:4" ht="13.05" customHeight="1" x14ac:dyDescent="0.3">
      <c r="A40" s="2" t="s">
        <v>23</v>
      </c>
      <c r="B40" s="2" t="s">
        <v>1014</v>
      </c>
      <c r="C40" s="5" t="s">
        <v>1025</v>
      </c>
      <c r="D40" s="2" t="s">
        <v>1048</v>
      </c>
    </row>
    <row r="41" spans="1:4" ht="13.05" customHeight="1" x14ac:dyDescent="0.3">
      <c r="A41" s="2" t="s">
        <v>23</v>
      </c>
      <c r="B41" s="2" t="s">
        <v>1014</v>
      </c>
      <c r="C41" s="5" t="s">
        <v>1027</v>
      </c>
      <c r="D41" s="2" t="s">
        <v>1049</v>
      </c>
    </row>
    <row r="42" spans="1:4" ht="13.05" customHeight="1" x14ac:dyDescent="0.3">
      <c r="A42" s="2" t="s">
        <v>23</v>
      </c>
      <c r="B42" s="2" t="s">
        <v>1014</v>
      </c>
      <c r="C42" s="5" t="s">
        <v>1029</v>
      </c>
      <c r="D42" s="2" t="s">
        <v>890</v>
      </c>
    </row>
    <row r="43" spans="1:4" ht="13.05" customHeight="1" x14ac:dyDescent="0.3">
      <c r="A43" s="2" t="s">
        <v>23</v>
      </c>
      <c r="B43" s="2" t="s">
        <v>1014</v>
      </c>
      <c r="C43" s="5" t="s">
        <v>1031</v>
      </c>
      <c r="D43" s="2" t="s">
        <v>1050</v>
      </c>
    </row>
    <row r="44" spans="1:4" ht="13.05" customHeight="1" x14ac:dyDescent="0.3">
      <c r="A44" s="2" t="s">
        <v>23</v>
      </c>
      <c r="B44" s="2" t="s">
        <v>1014</v>
      </c>
      <c r="C44" s="5" t="s">
        <v>1040</v>
      </c>
      <c r="D44" s="2" t="s">
        <v>1051</v>
      </c>
    </row>
    <row r="45" spans="1:4" ht="13.05" customHeight="1" x14ac:dyDescent="0.3">
      <c r="A45" s="2" t="s">
        <v>23</v>
      </c>
      <c r="B45" s="2" t="s">
        <v>1014</v>
      </c>
      <c r="C45" s="5" t="s">
        <v>1052</v>
      </c>
      <c r="D45" s="2" t="s">
        <v>1053</v>
      </c>
    </row>
    <row r="46" spans="1:4" ht="13.05" customHeight="1" x14ac:dyDescent="0.3">
      <c r="A46" s="2" t="s">
        <v>25</v>
      </c>
      <c r="B46" s="2" t="s">
        <v>1014</v>
      </c>
      <c r="C46" s="5" t="s">
        <v>1044</v>
      </c>
      <c r="D46" s="2" t="s">
        <v>1045</v>
      </c>
    </row>
    <row r="47" spans="1:4" ht="13.05" customHeight="1" x14ac:dyDescent="0.3">
      <c r="A47" s="2" t="s">
        <v>25</v>
      </c>
      <c r="B47" s="2" t="s">
        <v>1014</v>
      </c>
      <c r="C47" s="5" t="s">
        <v>1015</v>
      </c>
      <c r="D47" s="2" t="s">
        <v>1016</v>
      </c>
    </row>
    <row r="48" spans="1:4" ht="13.05" customHeight="1" x14ac:dyDescent="0.3">
      <c r="A48" s="2" t="s">
        <v>25</v>
      </c>
      <c r="B48" s="2" t="s">
        <v>1014</v>
      </c>
      <c r="C48" s="5" t="s">
        <v>1017</v>
      </c>
      <c r="D48" s="2" t="s">
        <v>1018</v>
      </c>
    </row>
    <row r="49" spans="1:4" ht="13.05" customHeight="1" x14ac:dyDescent="0.3">
      <c r="A49" s="2" t="s">
        <v>25</v>
      </c>
      <c r="B49" s="2" t="s">
        <v>1014</v>
      </c>
      <c r="C49" s="5" t="s">
        <v>1019</v>
      </c>
      <c r="D49" s="2" t="s">
        <v>1020</v>
      </c>
    </row>
    <row r="50" spans="1:4" ht="13.05" customHeight="1" x14ac:dyDescent="0.3">
      <c r="A50" s="2" t="s">
        <v>25</v>
      </c>
      <c r="B50" s="2" t="s">
        <v>1014</v>
      </c>
      <c r="C50" s="5" t="s">
        <v>1021</v>
      </c>
      <c r="D50" s="2" t="s">
        <v>1046</v>
      </c>
    </row>
    <row r="51" spans="1:4" ht="13.05" customHeight="1" x14ac:dyDescent="0.3">
      <c r="A51" s="2" t="s">
        <v>25</v>
      </c>
      <c r="B51" s="2" t="s">
        <v>1014</v>
      </c>
      <c r="C51" s="5" t="s">
        <v>1023</v>
      </c>
      <c r="D51" s="2" t="s">
        <v>1047</v>
      </c>
    </row>
    <row r="52" spans="1:4" ht="13.05" customHeight="1" x14ac:dyDescent="0.3">
      <c r="A52" s="2" t="s">
        <v>25</v>
      </c>
      <c r="B52" s="2" t="s">
        <v>1014</v>
      </c>
      <c r="C52" s="5" t="s">
        <v>1025</v>
      </c>
      <c r="D52" s="2" t="s">
        <v>1048</v>
      </c>
    </row>
    <row r="53" spans="1:4" ht="13.05" customHeight="1" x14ac:dyDescent="0.3">
      <c r="A53" s="2" t="s">
        <v>25</v>
      </c>
      <c r="B53" s="2" t="s">
        <v>1014</v>
      </c>
      <c r="C53" s="5" t="s">
        <v>1027</v>
      </c>
      <c r="D53" s="2" t="s">
        <v>1049</v>
      </c>
    </row>
    <row r="54" spans="1:4" ht="13.05" customHeight="1" x14ac:dyDescent="0.3">
      <c r="A54" s="2" t="s">
        <v>25</v>
      </c>
      <c r="B54" s="2" t="s">
        <v>1014</v>
      </c>
      <c r="C54" s="5" t="s">
        <v>1029</v>
      </c>
      <c r="D54" s="2" t="s">
        <v>890</v>
      </c>
    </row>
    <row r="55" spans="1:4" ht="13.05" customHeight="1" x14ac:dyDescent="0.3">
      <c r="A55" s="2" t="s">
        <v>25</v>
      </c>
      <c r="B55" s="2" t="s">
        <v>1014</v>
      </c>
      <c r="C55" s="5" t="s">
        <v>1031</v>
      </c>
      <c r="D55" s="2" t="s">
        <v>1050</v>
      </c>
    </row>
    <row r="56" spans="1:4" ht="13.05" customHeight="1" x14ac:dyDescent="0.3">
      <c r="A56" s="2" t="s">
        <v>25</v>
      </c>
      <c r="B56" s="2" t="s">
        <v>1014</v>
      </c>
      <c r="C56" s="5" t="s">
        <v>1040</v>
      </c>
      <c r="D56" s="2" t="s">
        <v>1051</v>
      </c>
    </row>
    <row r="57" spans="1:4" ht="13.05" customHeight="1" x14ac:dyDescent="0.3">
      <c r="A57" s="2" t="s">
        <v>25</v>
      </c>
      <c r="B57" s="2" t="s">
        <v>1014</v>
      </c>
      <c r="C57" s="5" t="s">
        <v>1052</v>
      </c>
      <c r="D57" s="2" t="s">
        <v>1053</v>
      </c>
    </row>
    <row r="58" spans="1:4" ht="13.05" customHeight="1" x14ac:dyDescent="0.3">
      <c r="A58" s="2" t="s">
        <v>27</v>
      </c>
      <c r="B58" s="2" t="s">
        <v>1014</v>
      </c>
      <c r="C58" s="5" t="s">
        <v>1044</v>
      </c>
      <c r="D58" s="2" t="s">
        <v>1045</v>
      </c>
    </row>
    <row r="59" spans="1:4" ht="13.05" customHeight="1" x14ac:dyDescent="0.3">
      <c r="A59" s="2" t="s">
        <v>27</v>
      </c>
      <c r="B59" s="2" t="s">
        <v>1014</v>
      </c>
      <c r="C59" s="5" t="s">
        <v>1015</v>
      </c>
      <c r="D59" s="2" t="s">
        <v>1016</v>
      </c>
    </row>
    <row r="60" spans="1:4" ht="13.05" customHeight="1" x14ac:dyDescent="0.3">
      <c r="A60" s="2" t="s">
        <v>27</v>
      </c>
      <c r="B60" s="2" t="s">
        <v>1014</v>
      </c>
      <c r="C60" s="5" t="s">
        <v>1017</v>
      </c>
      <c r="D60" s="2" t="s">
        <v>1018</v>
      </c>
    </row>
    <row r="61" spans="1:4" ht="13.05" customHeight="1" x14ac:dyDescent="0.3">
      <c r="A61" s="2" t="s">
        <v>27</v>
      </c>
      <c r="B61" s="2" t="s">
        <v>1014</v>
      </c>
      <c r="C61" s="5" t="s">
        <v>1019</v>
      </c>
      <c r="D61" s="2" t="s">
        <v>1020</v>
      </c>
    </row>
    <row r="62" spans="1:4" ht="13.05" customHeight="1" x14ac:dyDescent="0.3">
      <c r="A62" s="2" t="s">
        <v>27</v>
      </c>
      <c r="B62" s="2" t="s">
        <v>1014</v>
      </c>
      <c r="C62" s="5" t="s">
        <v>1021</v>
      </c>
      <c r="D62" s="2" t="s">
        <v>1046</v>
      </c>
    </row>
    <row r="63" spans="1:4" ht="13.05" customHeight="1" x14ac:dyDescent="0.3">
      <c r="A63" s="2" t="s">
        <v>27</v>
      </c>
      <c r="B63" s="2" t="s">
        <v>1014</v>
      </c>
      <c r="C63" s="5" t="s">
        <v>1023</v>
      </c>
      <c r="D63" s="2" t="s">
        <v>1047</v>
      </c>
    </row>
    <row r="64" spans="1:4" ht="13.05" customHeight="1" x14ac:dyDescent="0.3">
      <c r="A64" s="2" t="s">
        <v>27</v>
      </c>
      <c r="B64" s="2" t="s">
        <v>1014</v>
      </c>
      <c r="C64" s="5" t="s">
        <v>1025</v>
      </c>
      <c r="D64" s="2" t="s">
        <v>1048</v>
      </c>
    </row>
    <row r="65" spans="1:4" ht="13.05" customHeight="1" x14ac:dyDescent="0.3">
      <c r="A65" s="2" t="s">
        <v>27</v>
      </c>
      <c r="B65" s="2" t="s">
        <v>1014</v>
      </c>
      <c r="C65" s="5" t="s">
        <v>1027</v>
      </c>
      <c r="D65" s="2" t="s">
        <v>1049</v>
      </c>
    </row>
    <row r="66" spans="1:4" ht="13.05" customHeight="1" x14ac:dyDescent="0.3">
      <c r="A66" s="2" t="s">
        <v>27</v>
      </c>
      <c r="B66" s="2" t="s">
        <v>1014</v>
      </c>
      <c r="C66" s="5" t="s">
        <v>1029</v>
      </c>
      <c r="D66" s="2" t="s">
        <v>890</v>
      </c>
    </row>
    <row r="67" spans="1:4" ht="13.05" customHeight="1" x14ac:dyDescent="0.3">
      <c r="A67" s="2" t="s">
        <v>27</v>
      </c>
      <c r="B67" s="2" t="s">
        <v>1014</v>
      </c>
      <c r="C67" s="5" t="s">
        <v>1031</v>
      </c>
      <c r="D67" s="2" t="s">
        <v>1050</v>
      </c>
    </row>
    <row r="68" spans="1:4" ht="13.05" customHeight="1" x14ac:dyDescent="0.3">
      <c r="A68" s="2" t="s">
        <v>27</v>
      </c>
      <c r="B68" s="2" t="s">
        <v>1014</v>
      </c>
      <c r="C68" s="5" t="s">
        <v>1040</v>
      </c>
      <c r="D68" s="2" t="s">
        <v>1051</v>
      </c>
    </row>
    <row r="69" spans="1:4" ht="13.05" customHeight="1" x14ac:dyDescent="0.3">
      <c r="A69" s="2" t="s">
        <v>27</v>
      </c>
      <c r="B69" s="2" t="s">
        <v>1014</v>
      </c>
      <c r="C69" s="5" t="s">
        <v>1052</v>
      </c>
      <c r="D69" s="2" t="s">
        <v>1053</v>
      </c>
    </row>
    <row r="70" spans="1:4" ht="13.05" customHeight="1" x14ac:dyDescent="0.3">
      <c r="A70" s="2" t="s">
        <v>29</v>
      </c>
      <c r="B70" s="2" t="s">
        <v>1014</v>
      </c>
      <c r="C70" s="5" t="s">
        <v>1044</v>
      </c>
      <c r="D70" s="2" t="s">
        <v>1045</v>
      </c>
    </row>
    <row r="71" spans="1:4" ht="13.05" customHeight="1" x14ac:dyDescent="0.3">
      <c r="A71" s="2" t="s">
        <v>29</v>
      </c>
      <c r="B71" s="2" t="s">
        <v>1014</v>
      </c>
      <c r="C71" s="5" t="s">
        <v>1015</v>
      </c>
      <c r="D71" s="2" t="s">
        <v>1016</v>
      </c>
    </row>
    <row r="72" spans="1:4" ht="13.05" customHeight="1" x14ac:dyDescent="0.3">
      <c r="A72" s="2" t="s">
        <v>29</v>
      </c>
      <c r="B72" s="2" t="s">
        <v>1014</v>
      </c>
      <c r="C72" s="5" t="s">
        <v>1017</v>
      </c>
      <c r="D72" s="2" t="s">
        <v>1018</v>
      </c>
    </row>
    <row r="73" spans="1:4" ht="13.05" customHeight="1" x14ac:dyDescent="0.3">
      <c r="A73" s="2" t="s">
        <v>29</v>
      </c>
      <c r="B73" s="2" t="s">
        <v>1014</v>
      </c>
      <c r="C73" s="5" t="s">
        <v>1019</v>
      </c>
      <c r="D73" s="2" t="s">
        <v>1020</v>
      </c>
    </row>
    <row r="74" spans="1:4" ht="13.05" customHeight="1" x14ac:dyDescent="0.3">
      <c r="A74" s="2" t="s">
        <v>29</v>
      </c>
      <c r="B74" s="2" t="s">
        <v>1014</v>
      </c>
      <c r="C74" s="5" t="s">
        <v>1021</v>
      </c>
      <c r="D74" s="2" t="s">
        <v>1046</v>
      </c>
    </row>
    <row r="75" spans="1:4" ht="13.05" customHeight="1" x14ac:dyDescent="0.3">
      <c r="A75" s="2" t="s">
        <v>29</v>
      </c>
      <c r="B75" s="2" t="s">
        <v>1014</v>
      </c>
      <c r="C75" s="5" t="s">
        <v>1023</v>
      </c>
      <c r="D75" s="2" t="s">
        <v>1047</v>
      </c>
    </row>
    <row r="76" spans="1:4" ht="13.05" customHeight="1" x14ac:dyDescent="0.3">
      <c r="A76" s="2" t="s">
        <v>29</v>
      </c>
      <c r="B76" s="2" t="s">
        <v>1014</v>
      </c>
      <c r="C76" s="5" t="s">
        <v>1025</v>
      </c>
      <c r="D76" s="2" t="s">
        <v>1048</v>
      </c>
    </row>
    <row r="77" spans="1:4" ht="13.05" customHeight="1" x14ac:dyDescent="0.3">
      <c r="A77" s="2" t="s">
        <v>29</v>
      </c>
      <c r="B77" s="2" t="s">
        <v>1014</v>
      </c>
      <c r="C77" s="5" t="s">
        <v>1027</v>
      </c>
      <c r="D77" s="2" t="s">
        <v>1049</v>
      </c>
    </row>
    <row r="78" spans="1:4" ht="13.05" customHeight="1" x14ac:dyDescent="0.3">
      <c r="A78" s="2" t="s">
        <v>29</v>
      </c>
      <c r="B78" s="2" t="s">
        <v>1014</v>
      </c>
      <c r="C78" s="5" t="s">
        <v>1029</v>
      </c>
      <c r="D78" s="2" t="s">
        <v>890</v>
      </c>
    </row>
    <row r="79" spans="1:4" ht="13.05" customHeight="1" x14ac:dyDescent="0.3">
      <c r="A79" s="2" t="s">
        <v>29</v>
      </c>
      <c r="B79" s="2" t="s">
        <v>1014</v>
      </c>
      <c r="C79" s="5" t="s">
        <v>1031</v>
      </c>
      <c r="D79" s="2" t="s">
        <v>1050</v>
      </c>
    </row>
    <row r="80" spans="1:4" ht="13.05" customHeight="1" x14ac:dyDescent="0.3">
      <c r="A80" s="2" t="s">
        <v>29</v>
      </c>
      <c r="B80" s="2" t="s">
        <v>1014</v>
      </c>
      <c r="C80" s="5" t="s">
        <v>1040</v>
      </c>
      <c r="D80" s="2" t="s">
        <v>1051</v>
      </c>
    </row>
    <row r="81" spans="1:4" ht="13.05" customHeight="1" x14ac:dyDescent="0.3">
      <c r="A81" s="2" t="s">
        <v>29</v>
      </c>
      <c r="B81" s="2" t="s">
        <v>1014</v>
      </c>
      <c r="C81" s="5" t="s">
        <v>1052</v>
      </c>
      <c r="D81" s="2" t="s">
        <v>1053</v>
      </c>
    </row>
    <row r="82" spans="1:4" ht="13.05" customHeight="1" x14ac:dyDescent="0.3">
      <c r="A82" s="2" t="s">
        <v>31</v>
      </c>
      <c r="B82" s="2" t="s">
        <v>1014</v>
      </c>
      <c r="C82" s="5" t="s">
        <v>1044</v>
      </c>
      <c r="D82" s="2" t="s">
        <v>1045</v>
      </c>
    </row>
    <row r="83" spans="1:4" ht="13.05" customHeight="1" x14ac:dyDescent="0.3">
      <c r="A83" s="2" t="s">
        <v>31</v>
      </c>
      <c r="B83" s="2" t="s">
        <v>1014</v>
      </c>
      <c r="C83" s="5" t="s">
        <v>1015</v>
      </c>
      <c r="D83" s="2" t="s">
        <v>1016</v>
      </c>
    </row>
    <row r="84" spans="1:4" ht="13.05" customHeight="1" x14ac:dyDescent="0.3">
      <c r="A84" s="2" t="s">
        <v>31</v>
      </c>
      <c r="B84" s="2" t="s">
        <v>1014</v>
      </c>
      <c r="C84" s="5" t="s">
        <v>1017</v>
      </c>
      <c r="D84" s="2" t="s">
        <v>1018</v>
      </c>
    </row>
    <row r="85" spans="1:4" ht="13.05" customHeight="1" x14ac:dyDescent="0.3">
      <c r="A85" s="2" t="s">
        <v>31</v>
      </c>
      <c r="B85" s="2" t="s">
        <v>1014</v>
      </c>
      <c r="C85" s="5" t="s">
        <v>1019</v>
      </c>
      <c r="D85" s="2" t="s">
        <v>1020</v>
      </c>
    </row>
    <row r="86" spans="1:4" ht="13.05" customHeight="1" x14ac:dyDescent="0.3">
      <c r="A86" s="2" t="s">
        <v>31</v>
      </c>
      <c r="B86" s="2" t="s">
        <v>1014</v>
      </c>
      <c r="C86" s="5" t="s">
        <v>1021</v>
      </c>
      <c r="D86" s="2" t="s">
        <v>1046</v>
      </c>
    </row>
    <row r="87" spans="1:4" ht="13.05" customHeight="1" x14ac:dyDescent="0.3">
      <c r="A87" s="2" t="s">
        <v>31</v>
      </c>
      <c r="B87" s="2" t="s">
        <v>1014</v>
      </c>
      <c r="C87" s="5" t="s">
        <v>1023</v>
      </c>
      <c r="D87" s="2" t="s">
        <v>1047</v>
      </c>
    </row>
    <row r="88" spans="1:4" ht="13.05" customHeight="1" x14ac:dyDescent="0.3">
      <c r="A88" s="2" t="s">
        <v>31</v>
      </c>
      <c r="B88" s="2" t="s">
        <v>1014</v>
      </c>
      <c r="C88" s="5" t="s">
        <v>1025</v>
      </c>
      <c r="D88" s="2" t="s">
        <v>1048</v>
      </c>
    </row>
    <row r="89" spans="1:4" ht="13.05" customHeight="1" x14ac:dyDescent="0.3">
      <c r="A89" s="2" t="s">
        <v>31</v>
      </c>
      <c r="B89" s="2" t="s">
        <v>1014</v>
      </c>
      <c r="C89" s="5" t="s">
        <v>1027</v>
      </c>
      <c r="D89" s="2" t="s">
        <v>1049</v>
      </c>
    </row>
    <row r="90" spans="1:4" ht="13.05" customHeight="1" x14ac:dyDescent="0.3">
      <c r="A90" s="2" t="s">
        <v>31</v>
      </c>
      <c r="B90" s="2" t="s">
        <v>1014</v>
      </c>
      <c r="C90" s="5" t="s">
        <v>1029</v>
      </c>
      <c r="D90" s="2" t="s">
        <v>890</v>
      </c>
    </row>
    <row r="91" spans="1:4" ht="13.05" customHeight="1" x14ac:dyDescent="0.3">
      <c r="A91" s="2" t="s">
        <v>31</v>
      </c>
      <c r="B91" s="2" t="s">
        <v>1014</v>
      </c>
      <c r="C91" s="5" t="s">
        <v>1031</v>
      </c>
      <c r="D91" s="2" t="s">
        <v>1050</v>
      </c>
    </row>
    <row r="92" spans="1:4" ht="13.05" customHeight="1" x14ac:dyDescent="0.3">
      <c r="A92" s="2" t="s">
        <v>31</v>
      </c>
      <c r="B92" s="2" t="s">
        <v>1014</v>
      </c>
      <c r="C92" s="5" t="s">
        <v>1040</v>
      </c>
      <c r="D92" s="2" t="s">
        <v>1051</v>
      </c>
    </row>
    <row r="93" spans="1:4" ht="13.05" customHeight="1" x14ac:dyDescent="0.3">
      <c r="A93" s="2" t="s">
        <v>31</v>
      </c>
      <c r="B93" s="2" t="s">
        <v>1014</v>
      </c>
      <c r="C93" s="5" t="s">
        <v>1052</v>
      </c>
      <c r="D93" s="2" t="s">
        <v>1053</v>
      </c>
    </row>
    <row r="94" spans="1:4" ht="13.05" customHeight="1" x14ac:dyDescent="0.3">
      <c r="A94" s="2" t="s">
        <v>33</v>
      </c>
      <c r="B94" s="2" t="s">
        <v>1014</v>
      </c>
      <c r="C94" s="5" t="s">
        <v>1044</v>
      </c>
      <c r="D94" s="2" t="s">
        <v>1045</v>
      </c>
    </row>
    <row r="95" spans="1:4" ht="13.05" customHeight="1" x14ac:dyDescent="0.3">
      <c r="A95" s="2" t="s">
        <v>33</v>
      </c>
      <c r="B95" s="2" t="s">
        <v>1014</v>
      </c>
      <c r="C95" s="5" t="s">
        <v>1015</v>
      </c>
      <c r="D95" s="2" t="s">
        <v>1016</v>
      </c>
    </row>
    <row r="96" spans="1:4" ht="13.05" customHeight="1" x14ac:dyDescent="0.3">
      <c r="A96" s="2" t="s">
        <v>33</v>
      </c>
      <c r="B96" s="2" t="s">
        <v>1014</v>
      </c>
      <c r="C96" s="5" t="s">
        <v>1017</v>
      </c>
      <c r="D96" s="2" t="s">
        <v>1018</v>
      </c>
    </row>
    <row r="97" spans="1:4" ht="13.05" customHeight="1" x14ac:dyDescent="0.3">
      <c r="A97" s="2" t="s">
        <v>33</v>
      </c>
      <c r="B97" s="2" t="s">
        <v>1014</v>
      </c>
      <c r="C97" s="5" t="s">
        <v>1019</v>
      </c>
      <c r="D97" s="2" t="s">
        <v>1020</v>
      </c>
    </row>
    <row r="98" spans="1:4" ht="13.05" customHeight="1" x14ac:dyDescent="0.3">
      <c r="A98" s="2" t="s">
        <v>33</v>
      </c>
      <c r="B98" s="2" t="s">
        <v>1014</v>
      </c>
      <c r="C98" s="5" t="s">
        <v>1021</v>
      </c>
      <c r="D98" s="2" t="s">
        <v>1046</v>
      </c>
    </row>
    <row r="99" spans="1:4" ht="13.05" customHeight="1" x14ac:dyDescent="0.3">
      <c r="A99" s="2" t="s">
        <v>33</v>
      </c>
      <c r="B99" s="2" t="s">
        <v>1014</v>
      </c>
      <c r="C99" s="5" t="s">
        <v>1023</v>
      </c>
      <c r="D99" s="2" t="s">
        <v>1047</v>
      </c>
    </row>
    <row r="100" spans="1:4" ht="13.05" customHeight="1" x14ac:dyDescent="0.3">
      <c r="A100" s="2" t="s">
        <v>33</v>
      </c>
      <c r="B100" s="2" t="s">
        <v>1014</v>
      </c>
      <c r="C100" s="5" t="s">
        <v>1025</v>
      </c>
      <c r="D100" s="2" t="s">
        <v>1048</v>
      </c>
    </row>
    <row r="101" spans="1:4" ht="13.05" customHeight="1" x14ac:dyDescent="0.3">
      <c r="A101" s="2" t="s">
        <v>33</v>
      </c>
      <c r="B101" s="2" t="s">
        <v>1014</v>
      </c>
      <c r="C101" s="5" t="s">
        <v>1027</v>
      </c>
      <c r="D101" s="2" t="s">
        <v>1049</v>
      </c>
    </row>
    <row r="102" spans="1:4" ht="13.05" customHeight="1" x14ac:dyDescent="0.3">
      <c r="A102" s="2" t="s">
        <v>33</v>
      </c>
      <c r="B102" s="2" t="s">
        <v>1014</v>
      </c>
      <c r="C102" s="5" t="s">
        <v>1029</v>
      </c>
      <c r="D102" s="2" t="s">
        <v>890</v>
      </c>
    </row>
    <row r="103" spans="1:4" ht="13.05" customHeight="1" x14ac:dyDescent="0.3">
      <c r="A103" s="2" t="s">
        <v>33</v>
      </c>
      <c r="B103" s="2" t="s">
        <v>1014</v>
      </c>
      <c r="C103" s="5" t="s">
        <v>1031</v>
      </c>
      <c r="D103" s="2" t="s">
        <v>1050</v>
      </c>
    </row>
    <row r="104" spans="1:4" ht="13.05" customHeight="1" x14ac:dyDescent="0.3">
      <c r="A104" s="2" t="s">
        <v>33</v>
      </c>
      <c r="B104" s="2" t="s">
        <v>1014</v>
      </c>
      <c r="C104" s="5" t="s">
        <v>1040</v>
      </c>
      <c r="D104" s="2" t="s">
        <v>1051</v>
      </c>
    </row>
    <row r="105" spans="1:4" ht="13.05" customHeight="1" x14ac:dyDescent="0.3">
      <c r="A105" s="2" t="s">
        <v>33</v>
      </c>
      <c r="B105" s="2" t="s">
        <v>1014</v>
      </c>
      <c r="C105" s="5" t="s">
        <v>1052</v>
      </c>
      <c r="D105" s="2" t="s">
        <v>1053</v>
      </c>
    </row>
    <row r="106" spans="1:4" ht="13.05" customHeight="1" x14ac:dyDescent="0.3">
      <c r="A106" s="2" t="s">
        <v>35</v>
      </c>
      <c r="B106" s="2" t="s">
        <v>1014</v>
      </c>
      <c r="C106" s="5" t="s">
        <v>1044</v>
      </c>
      <c r="D106" s="2" t="s">
        <v>1045</v>
      </c>
    </row>
    <row r="107" spans="1:4" ht="13.05" customHeight="1" x14ac:dyDescent="0.3">
      <c r="A107" s="2" t="s">
        <v>35</v>
      </c>
      <c r="B107" s="2" t="s">
        <v>1014</v>
      </c>
      <c r="C107" s="5" t="s">
        <v>1015</v>
      </c>
      <c r="D107" s="2" t="s">
        <v>1016</v>
      </c>
    </row>
    <row r="108" spans="1:4" ht="13.05" customHeight="1" x14ac:dyDescent="0.3">
      <c r="A108" s="2" t="s">
        <v>35</v>
      </c>
      <c r="B108" s="2" t="s">
        <v>1014</v>
      </c>
      <c r="C108" s="5" t="s">
        <v>1017</v>
      </c>
      <c r="D108" s="2" t="s">
        <v>1018</v>
      </c>
    </row>
    <row r="109" spans="1:4" ht="13.05" customHeight="1" x14ac:dyDescent="0.3">
      <c r="A109" s="2" t="s">
        <v>35</v>
      </c>
      <c r="B109" s="2" t="s">
        <v>1014</v>
      </c>
      <c r="C109" s="5" t="s">
        <v>1019</v>
      </c>
      <c r="D109" s="2" t="s">
        <v>1020</v>
      </c>
    </row>
    <row r="110" spans="1:4" ht="13.05" customHeight="1" x14ac:dyDescent="0.3">
      <c r="A110" s="2" t="s">
        <v>35</v>
      </c>
      <c r="B110" s="2" t="s">
        <v>1014</v>
      </c>
      <c r="C110" s="5" t="s">
        <v>1021</v>
      </c>
      <c r="D110" s="2" t="s">
        <v>1046</v>
      </c>
    </row>
    <row r="111" spans="1:4" ht="13.05" customHeight="1" x14ac:dyDescent="0.3">
      <c r="A111" s="2" t="s">
        <v>35</v>
      </c>
      <c r="B111" s="2" t="s">
        <v>1014</v>
      </c>
      <c r="C111" s="5" t="s">
        <v>1023</v>
      </c>
      <c r="D111" s="2" t="s">
        <v>1047</v>
      </c>
    </row>
    <row r="112" spans="1:4" ht="13.05" customHeight="1" x14ac:dyDescent="0.3">
      <c r="A112" s="2" t="s">
        <v>35</v>
      </c>
      <c r="B112" s="2" t="s">
        <v>1014</v>
      </c>
      <c r="C112" s="5" t="s">
        <v>1025</v>
      </c>
      <c r="D112" s="2" t="s">
        <v>1048</v>
      </c>
    </row>
    <row r="113" spans="1:4" ht="13.05" customHeight="1" x14ac:dyDescent="0.3">
      <c r="A113" s="2" t="s">
        <v>35</v>
      </c>
      <c r="B113" s="2" t="s">
        <v>1014</v>
      </c>
      <c r="C113" s="5" t="s">
        <v>1027</v>
      </c>
      <c r="D113" s="2" t="s">
        <v>1049</v>
      </c>
    </row>
    <row r="114" spans="1:4" ht="13.05" customHeight="1" x14ac:dyDescent="0.3">
      <c r="A114" s="2" t="s">
        <v>35</v>
      </c>
      <c r="B114" s="2" t="s">
        <v>1014</v>
      </c>
      <c r="C114" s="5" t="s">
        <v>1029</v>
      </c>
      <c r="D114" s="2" t="s">
        <v>890</v>
      </c>
    </row>
    <row r="115" spans="1:4" ht="13.05" customHeight="1" x14ac:dyDescent="0.3">
      <c r="A115" s="2" t="s">
        <v>35</v>
      </c>
      <c r="B115" s="2" t="s">
        <v>1014</v>
      </c>
      <c r="C115" s="5" t="s">
        <v>1031</v>
      </c>
      <c r="D115" s="2" t="s">
        <v>1050</v>
      </c>
    </row>
    <row r="116" spans="1:4" ht="13.05" customHeight="1" x14ac:dyDescent="0.3">
      <c r="A116" s="2" t="s">
        <v>35</v>
      </c>
      <c r="B116" s="2" t="s">
        <v>1014</v>
      </c>
      <c r="C116" s="5" t="s">
        <v>1040</v>
      </c>
      <c r="D116" s="2" t="s">
        <v>1051</v>
      </c>
    </row>
    <row r="117" spans="1:4" ht="13.05" customHeight="1" x14ac:dyDescent="0.3">
      <c r="A117" s="2" t="s">
        <v>35</v>
      </c>
      <c r="B117" s="2" t="s">
        <v>1014</v>
      </c>
      <c r="C117" s="5" t="s">
        <v>1052</v>
      </c>
      <c r="D117" s="2" t="s">
        <v>1053</v>
      </c>
    </row>
    <row r="118" spans="1:4" ht="13.05" customHeight="1" x14ac:dyDescent="0.3">
      <c r="A118" s="2" t="s">
        <v>37</v>
      </c>
      <c r="B118" s="2" t="s">
        <v>1014</v>
      </c>
      <c r="C118" s="5" t="s">
        <v>1044</v>
      </c>
      <c r="D118" s="2" t="s">
        <v>1045</v>
      </c>
    </row>
    <row r="119" spans="1:4" ht="13.05" customHeight="1" x14ac:dyDescent="0.3">
      <c r="A119" s="2" t="s">
        <v>37</v>
      </c>
      <c r="B119" s="2" t="s">
        <v>1014</v>
      </c>
      <c r="C119" s="5" t="s">
        <v>1019</v>
      </c>
      <c r="D119" s="2" t="s">
        <v>1020</v>
      </c>
    </row>
    <row r="120" spans="1:4" ht="13.05" customHeight="1" x14ac:dyDescent="0.3">
      <c r="A120" s="2" t="s">
        <v>39</v>
      </c>
      <c r="B120" s="2" t="s">
        <v>1014</v>
      </c>
      <c r="C120" s="5" t="s">
        <v>1044</v>
      </c>
      <c r="D120" s="2" t="s">
        <v>1045</v>
      </c>
    </row>
    <row r="121" spans="1:4" ht="13.05" customHeight="1" x14ac:dyDescent="0.3">
      <c r="A121" s="2" t="s">
        <v>39</v>
      </c>
      <c r="B121" s="2" t="s">
        <v>1014</v>
      </c>
      <c r="C121" s="5" t="s">
        <v>1015</v>
      </c>
      <c r="D121" s="2" t="s">
        <v>1016</v>
      </c>
    </row>
    <row r="122" spans="1:4" ht="13.05" customHeight="1" x14ac:dyDescent="0.3">
      <c r="A122" s="2" t="s">
        <v>39</v>
      </c>
      <c r="B122" s="2" t="s">
        <v>1014</v>
      </c>
      <c r="C122" s="5" t="s">
        <v>1017</v>
      </c>
      <c r="D122" s="2" t="s">
        <v>1018</v>
      </c>
    </row>
    <row r="123" spans="1:4" ht="13.05" customHeight="1" x14ac:dyDescent="0.3">
      <c r="A123" s="2" t="s">
        <v>39</v>
      </c>
      <c r="B123" s="2" t="s">
        <v>1014</v>
      </c>
      <c r="C123" s="5" t="s">
        <v>1019</v>
      </c>
      <c r="D123" s="2" t="s">
        <v>1020</v>
      </c>
    </row>
    <row r="124" spans="1:4" ht="13.05" customHeight="1" x14ac:dyDescent="0.3">
      <c r="A124" s="2" t="s">
        <v>39</v>
      </c>
      <c r="B124" s="2" t="s">
        <v>1014</v>
      </c>
      <c r="C124" s="5" t="s">
        <v>1021</v>
      </c>
      <c r="D124" s="2" t="s">
        <v>1046</v>
      </c>
    </row>
    <row r="125" spans="1:4" ht="13.05" customHeight="1" x14ac:dyDescent="0.3">
      <c r="A125" s="2" t="s">
        <v>39</v>
      </c>
      <c r="B125" s="2" t="s">
        <v>1014</v>
      </c>
      <c r="C125" s="5" t="s">
        <v>1023</v>
      </c>
      <c r="D125" s="2" t="s">
        <v>1047</v>
      </c>
    </row>
    <row r="126" spans="1:4" ht="13.05" customHeight="1" x14ac:dyDescent="0.3">
      <c r="A126" s="2" t="s">
        <v>39</v>
      </c>
      <c r="B126" s="2" t="s">
        <v>1014</v>
      </c>
      <c r="C126" s="5" t="s">
        <v>1025</v>
      </c>
      <c r="D126" s="2" t="s">
        <v>1048</v>
      </c>
    </row>
    <row r="127" spans="1:4" ht="13.05" customHeight="1" x14ac:dyDescent="0.3">
      <c r="A127" s="2" t="s">
        <v>39</v>
      </c>
      <c r="B127" s="2" t="s">
        <v>1014</v>
      </c>
      <c r="C127" s="5" t="s">
        <v>1027</v>
      </c>
      <c r="D127" s="2" t="s">
        <v>1049</v>
      </c>
    </row>
    <row r="128" spans="1:4" ht="13.05" customHeight="1" x14ac:dyDescent="0.3">
      <c r="A128" s="2" t="s">
        <v>39</v>
      </c>
      <c r="B128" s="2" t="s">
        <v>1014</v>
      </c>
      <c r="C128" s="5" t="s">
        <v>1029</v>
      </c>
      <c r="D128" s="2" t="s">
        <v>890</v>
      </c>
    </row>
    <row r="129" spans="1:4" ht="13.05" customHeight="1" x14ac:dyDescent="0.3">
      <c r="A129" s="2" t="s">
        <v>39</v>
      </c>
      <c r="B129" s="2" t="s">
        <v>1014</v>
      </c>
      <c r="C129" s="5" t="s">
        <v>1031</v>
      </c>
      <c r="D129" s="2" t="s">
        <v>1050</v>
      </c>
    </row>
    <row r="130" spans="1:4" ht="13.05" customHeight="1" x14ac:dyDescent="0.3">
      <c r="A130" s="2" t="s">
        <v>39</v>
      </c>
      <c r="B130" s="2" t="s">
        <v>1014</v>
      </c>
      <c r="C130" s="5" t="s">
        <v>1040</v>
      </c>
      <c r="D130" s="2" t="s">
        <v>1051</v>
      </c>
    </row>
    <row r="131" spans="1:4" ht="13.05" customHeight="1" x14ac:dyDescent="0.3">
      <c r="A131" s="2" t="s">
        <v>39</v>
      </c>
      <c r="B131" s="2" t="s">
        <v>1014</v>
      </c>
      <c r="C131" s="5" t="s">
        <v>1052</v>
      </c>
      <c r="D131" s="2" t="s">
        <v>1053</v>
      </c>
    </row>
    <row r="132" spans="1:4" ht="13.05" customHeight="1" x14ac:dyDescent="0.3">
      <c r="A132" s="2" t="s">
        <v>41</v>
      </c>
      <c r="B132" s="2" t="s">
        <v>1014</v>
      </c>
      <c r="C132" s="5" t="s">
        <v>1044</v>
      </c>
      <c r="D132" s="2" t="s">
        <v>1045</v>
      </c>
    </row>
    <row r="133" spans="1:4" ht="13.05" customHeight="1" x14ac:dyDescent="0.3">
      <c r="A133" s="2" t="s">
        <v>41</v>
      </c>
      <c r="B133" s="2" t="s">
        <v>1014</v>
      </c>
      <c r="C133" s="5" t="s">
        <v>1015</v>
      </c>
      <c r="D133" s="2" t="s">
        <v>1016</v>
      </c>
    </row>
    <row r="134" spans="1:4" ht="13.05" customHeight="1" x14ac:dyDescent="0.3">
      <c r="A134" s="2" t="s">
        <v>41</v>
      </c>
      <c r="B134" s="2" t="s">
        <v>1014</v>
      </c>
      <c r="C134" s="5" t="s">
        <v>1017</v>
      </c>
      <c r="D134" s="2" t="s">
        <v>1018</v>
      </c>
    </row>
    <row r="135" spans="1:4" ht="13.05" customHeight="1" x14ac:dyDescent="0.3">
      <c r="A135" s="2" t="s">
        <v>41</v>
      </c>
      <c r="B135" s="2" t="s">
        <v>1014</v>
      </c>
      <c r="C135" s="5" t="s">
        <v>1019</v>
      </c>
      <c r="D135" s="2" t="s">
        <v>1020</v>
      </c>
    </row>
    <row r="136" spans="1:4" ht="13.05" customHeight="1" x14ac:dyDescent="0.3">
      <c r="A136" s="2" t="s">
        <v>41</v>
      </c>
      <c r="B136" s="2" t="s">
        <v>1014</v>
      </c>
      <c r="C136" s="5" t="s">
        <v>1021</v>
      </c>
      <c r="D136" s="2" t="s">
        <v>1046</v>
      </c>
    </row>
    <row r="137" spans="1:4" ht="13.05" customHeight="1" x14ac:dyDescent="0.3">
      <c r="A137" s="2" t="s">
        <v>41</v>
      </c>
      <c r="B137" s="2" t="s">
        <v>1014</v>
      </c>
      <c r="C137" s="5" t="s">
        <v>1023</v>
      </c>
      <c r="D137" s="2" t="s">
        <v>1047</v>
      </c>
    </row>
    <row r="138" spans="1:4" ht="13.05" customHeight="1" x14ac:dyDescent="0.3">
      <c r="A138" s="2" t="s">
        <v>41</v>
      </c>
      <c r="B138" s="2" t="s">
        <v>1014</v>
      </c>
      <c r="C138" s="5" t="s">
        <v>1025</v>
      </c>
      <c r="D138" s="2" t="s">
        <v>1048</v>
      </c>
    </row>
    <row r="139" spans="1:4" ht="13.05" customHeight="1" x14ac:dyDescent="0.3">
      <c r="A139" s="2" t="s">
        <v>41</v>
      </c>
      <c r="B139" s="2" t="s">
        <v>1014</v>
      </c>
      <c r="C139" s="5" t="s">
        <v>1027</v>
      </c>
      <c r="D139" s="2" t="s">
        <v>1049</v>
      </c>
    </row>
    <row r="140" spans="1:4" ht="13.05" customHeight="1" x14ac:dyDescent="0.3">
      <c r="A140" s="2" t="s">
        <v>41</v>
      </c>
      <c r="B140" s="2" t="s">
        <v>1014</v>
      </c>
      <c r="C140" s="5" t="s">
        <v>1029</v>
      </c>
      <c r="D140" s="2" t="s">
        <v>890</v>
      </c>
    </row>
    <row r="141" spans="1:4" ht="13.05" customHeight="1" x14ac:dyDescent="0.3">
      <c r="A141" s="2" t="s">
        <v>41</v>
      </c>
      <c r="B141" s="2" t="s">
        <v>1014</v>
      </c>
      <c r="C141" s="5" t="s">
        <v>1031</v>
      </c>
      <c r="D141" s="2" t="s">
        <v>1050</v>
      </c>
    </row>
    <row r="142" spans="1:4" ht="13.05" customHeight="1" x14ac:dyDescent="0.3">
      <c r="A142" s="2" t="s">
        <v>41</v>
      </c>
      <c r="B142" s="2" t="s">
        <v>1014</v>
      </c>
      <c r="C142" s="5" t="s">
        <v>1040</v>
      </c>
      <c r="D142" s="2" t="s">
        <v>1051</v>
      </c>
    </row>
    <row r="143" spans="1:4" ht="13.05" customHeight="1" x14ac:dyDescent="0.3">
      <c r="A143" s="2" t="s">
        <v>41</v>
      </c>
      <c r="B143" s="2" t="s">
        <v>1014</v>
      </c>
      <c r="C143" s="5" t="s">
        <v>1052</v>
      </c>
      <c r="D143" s="2" t="s">
        <v>1053</v>
      </c>
    </row>
    <row r="144" spans="1:4" ht="13.05" customHeight="1" x14ac:dyDescent="0.3">
      <c r="A144" s="2" t="s">
        <v>43</v>
      </c>
      <c r="B144" s="2" t="s">
        <v>1054</v>
      </c>
      <c r="C144" s="5" t="s">
        <v>1044</v>
      </c>
      <c r="D144" s="2" t="s">
        <v>1045</v>
      </c>
    </row>
    <row r="145" spans="1:4" ht="13.05" customHeight="1" x14ac:dyDescent="0.3">
      <c r="A145" s="2" t="s">
        <v>43</v>
      </c>
      <c r="B145" s="2" t="s">
        <v>1054</v>
      </c>
      <c r="C145" s="5" t="s">
        <v>1019</v>
      </c>
      <c r="D145" s="2" t="s">
        <v>1020</v>
      </c>
    </row>
    <row r="146" spans="1:4" ht="13.05" customHeight="1" x14ac:dyDescent="0.3">
      <c r="A146" s="2" t="s">
        <v>46</v>
      </c>
      <c r="B146" s="2" t="s">
        <v>1014</v>
      </c>
      <c r="C146" s="5" t="s">
        <v>1044</v>
      </c>
      <c r="D146" s="2" t="s">
        <v>1045</v>
      </c>
    </row>
    <row r="147" spans="1:4" ht="13.05" customHeight="1" x14ac:dyDescent="0.3">
      <c r="A147" s="2" t="s">
        <v>46</v>
      </c>
      <c r="B147" s="2" t="s">
        <v>1014</v>
      </c>
      <c r="C147" s="5" t="s">
        <v>1015</v>
      </c>
      <c r="D147" s="2" t="s">
        <v>1016</v>
      </c>
    </row>
    <row r="148" spans="1:4" ht="13.05" customHeight="1" x14ac:dyDescent="0.3">
      <c r="A148" s="2" t="s">
        <v>46</v>
      </c>
      <c r="B148" s="2" t="s">
        <v>1014</v>
      </c>
      <c r="C148" s="5" t="s">
        <v>1017</v>
      </c>
      <c r="D148" s="2" t="s">
        <v>1018</v>
      </c>
    </row>
    <row r="149" spans="1:4" ht="13.05" customHeight="1" x14ac:dyDescent="0.3">
      <c r="A149" s="2" t="s">
        <v>46</v>
      </c>
      <c r="B149" s="2" t="s">
        <v>1014</v>
      </c>
      <c r="C149" s="5" t="s">
        <v>1019</v>
      </c>
      <c r="D149" s="2" t="s">
        <v>1020</v>
      </c>
    </row>
    <row r="150" spans="1:4" ht="13.05" customHeight="1" x14ac:dyDescent="0.3">
      <c r="A150" s="2" t="s">
        <v>46</v>
      </c>
      <c r="B150" s="2" t="s">
        <v>1014</v>
      </c>
      <c r="C150" s="5" t="s">
        <v>1025</v>
      </c>
      <c r="D150" s="2" t="s">
        <v>1055</v>
      </c>
    </row>
    <row r="151" spans="1:4" ht="13.05" customHeight="1" x14ac:dyDescent="0.3">
      <c r="A151" s="2" t="s">
        <v>46</v>
      </c>
      <c r="B151" s="2" t="s">
        <v>1014</v>
      </c>
      <c r="C151" s="5" t="s">
        <v>1027</v>
      </c>
      <c r="D151" s="2" t="s">
        <v>1056</v>
      </c>
    </row>
    <row r="152" spans="1:4" ht="13.05" customHeight="1" x14ac:dyDescent="0.3">
      <c r="A152" s="2" t="s">
        <v>46</v>
      </c>
      <c r="B152" s="2" t="s">
        <v>1014</v>
      </c>
      <c r="C152" s="5" t="s">
        <v>1029</v>
      </c>
      <c r="D152" s="2" t="s">
        <v>1057</v>
      </c>
    </row>
    <row r="153" spans="1:4" ht="13.05" customHeight="1" x14ac:dyDescent="0.3">
      <c r="A153" s="2" t="s">
        <v>46</v>
      </c>
      <c r="B153" s="2" t="s">
        <v>1014</v>
      </c>
      <c r="C153" s="5" t="s">
        <v>1031</v>
      </c>
      <c r="D153" s="2" t="s">
        <v>1058</v>
      </c>
    </row>
    <row r="154" spans="1:4" ht="13.05" customHeight="1" x14ac:dyDescent="0.3">
      <c r="A154" s="2" t="s">
        <v>46</v>
      </c>
      <c r="B154" s="2" t="s">
        <v>1014</v>
      </c>
      <c r="C154" s="5" t="s">
        <v>1040</v>
      </c>
      <c r="D154" s="2" t="s">
        <v>1059</v>
      </c>
    </row>
    <row r="155" spans="1:4" ht="13.05" customHeight="1" x14ac:dyDescent="0.3">
      <c r="A155" s="2" t="s">
        <v>46</v>
      </c>
      <c r="B155" s="2" t="s">
        <v>1014</v>
      </c>
      <c r="C155" s="5" t="s">
        <v>1042</v>
      </c>
      <c r="D155" s="2" t="s">
        <v>1060</v>
      </c>
    </row>
    <row r="156" spans="1:4" ht="13.05" customHeight="1" x14ac:dyDescent="0.3">
      <c r="A156" s="2" t="s">
        <v>46</v>
      </c>
      <c r="B156" s="2" t="s">
        <v>1014</v>
      </c>
      <c r="C156" s="5" t="s">
        <v>1061</v>
      </c>
      <c r="D156" s="2" t="s">
        <v>1062</v>
      </c>
    </row>
    <row r="157" spans="1:4" ht="13.05" customHeight="1" x14ac:dyDescent="0.3">
      <c r="A157" s="2" t="s">
        <v>46</v>
      </c>
      <c r="B157" s="2" t="s">
        <v>1014</v>
      </c>
      <c r="C157" s="5" t="s">
        <v>1063</v>
      </c>
      <c r="D157" s="2" t="s">
        <v>1064</v>
      </c>
    </row>
    <row r="158" spans="1:4" ht="13.05" customHeight="1" x14ac:dyDescent="0.3">
      <c r="A158" s="2" t="s">
        <v>46</v>
      </c>
      <c r="B158" s="2" t="s">
        <v>1014</v>
      </c>
      <c r="C158" s="5" t="s">
        <v>1065</v>
      </c>
      <c r="D158" s="2" t="s">
        <v>1066</v>
      </c>
    </row>
    <row r="159" spans="1:4" ht="13.05" customHeight="1" x14ac:dyDescent="0.3">
      <c r="A159" s="2" t="s">
        <v>46</v>
      </c>
      <c r="B159" s="2" t="s">
        <v>1014</v>
      </c>
      <c r="C159" s="5" t="s">
        <v>1067</v>
      </c>
      <c r="D159" s="2" t="s">
        <v>1068</v>
      </c>
    </row>
    <row r="160" spans="1:4" ht="13.05" customHeight="1" x14ac:dyDescent="0.3">
      <c r="A160" s="2" t="s">
        <v>46</v>
      </c>
      <c r="B160" s="2" t="s">
        <v>1014</v>
      </c>
      <c r="C160" s="5" t="s">
        <v>1069</v>
      </c>
      <c r="D160" s="2" t="s">
        <v>1070</v>
      </c>
    </row>
    <row r="161" spans="1:4" ht="13.05" customHeight="1" x14ac:dyDescent="0.3">
      <c r="A161" s="2" t="s">
        <v>46</v>
      </c>
      <c r="B161" s="2" t="s">
        <v>1014</v>
      </c>
      <c r="C161" s="5" t="s">
        <v>1071</v>
      </c>
      <c r="D161" s="2" t="s">
        <v>1072</v>
      </c>
    </row>
    <row r="162" spans="1:4" ht="13.05" customHeight="1" x14ac:dyDescent="0.3">
      <c r="A162" s="2" t="s">
        <v>46</v>
      </c>
      <c r="B162" s="2" t="s">
        <v>1014</v>
      </c>
      <c r="C162" s="5" t="s">
        <v>1073</v>
      </c>
      <c r="D162" s="2" t="s">
        <v>1074</v>
      </c>
    </row>
    <row r="163" spans="1:4" ht="13.05" customHeight="1" x14ac:dyDescent="0.3">
      <c r="A163" s="2" t="s">
        <v>46</v>
      </c>
      <c r="B163" s="2" t="s">
        <v>1014</v>
      </c>
      <c r="C163" s="5" t="s">
        <v>1075</v>
      </c>
      <c r="D163" s="2" t="s">
        <v>1076</v>
      </c>
    </row>
    <row r="164" spans="1:4" ht="13.05" customHeight="1" x14ac:dyDescent="0.3">
      <c r="A164" s="2" t="s">
        <v>46</v>
      </c>
      <c r="B164" s="2" t="s">
        <v>1014</v>
      </c>
      <c r="C164" s="5" t="s">
        <v>1077</v>
      </c>
      <c r="D164" s="2" t="s">
        <v>1078</v>
      </c>
    </row>
    <row r="165" spans="1:4" ht="13.05" customHeight="1" x14ac:dyDescent="0.3">
      <c r="A165" s="2" t="s">
        <v>46</v>
      </c>
      <c r="B165" s="2" t="s">
        <v>1014</v>
      </c>
      <c r="C165" s="5" t="s">
        <v>1079</v>
      </c>
      <c r="D165" s="2" t="s">
        <v>1080</v>
      </c>
    </row>
    <row r="166" spans="1:4" ht="13.05" customHeight="1" x14ac:dyDescent="0.3">
      <c r="A166" s="2" t="s">
        <v>46</v>
      </c>
      <c r="B166" s="2" t="s">
        <v>1014</v>
      </c>
      <c r="C166" s="5" t="s">
        <v>1081</v>
      </c>
      <c r="D166" s="2" t="s">
        <v>1082</v>
      </c>
    </row>
    <row r="167" spans="1:4" ht="13.05" customHeight="1" x14ac:dyDescent="0.3">
      <c r="A167" s="2" t="s">
        <v>46</v>
      </c>
      <c r="B167" s="2" t="s">
        <v>1014</v>
      </c>
      <c r="C167" s="5" t="s">
        <v>1052</v>
      </c>
      <c r="D167" s="2" t="s">
        <v>1083</v>
      </c>
    </row>
    <row r="168" spans="1:4" ht="13.05" customHeight="1" x14ac:dyDescent="0.3">
      <c r="A168" s="2" t="s">
        <v>48</v>
      </c>
      <c r="B168" s="2" t="s">
        <v>1014</v>
      </c>
      <c r="C168" s="5" t="s">
        <v>1044</v>
      </c>
      <c r="D168" s="2" t="s">
        <v>1045</v>
      </c>
    </row>
    <row r="169" spans="1:4" ht="13.05" customHeight="1" x14ac:dyDescent="0.3">
      <c r="A169" s="2" t="s">
        <v>48</v>
      </c>
      <c r="B169" s="2" t="s">
        <v>1014</v>
      </c>
      <c r="C169" s="5" t="s">
        <v>1015</v>
      </c>
      <c r="D169" s="2" t="s">
        <v>1016</v>
      </c>
    </row>
    <row r="170" spans="1:4" ht="13.05" customHeight="1" x14ac:dyDescent="0.3">
      <c r="A170" s="2" t="s">
        <v>48</v>
      </c>
      <c r="B170" s="2" t="s">
        <v>1014</v>
      </c>
      <c r="C170" s="5" t="s">
        <v>1017</v>
      </c>
      <c r="D170" s="2" t="s">
        <v>1018</v>
      </c>
    </row>
    <row r="171" spans="1:4" ht="13.05" customHeight="1" x14ac:dyDescent="0.3">
      <c r="A171" s="2" t="s">
        <v>48</v>
      </c>
      <c r="B171" s="2" t="s">
        <v>1014</v>
      </c>
      <c r="C171" s="5" t="s">
        <v>1019</v>
      </c>
      <c r="D171" s="2" t="s">
        <v>1020</v>
      </c>
    </row>
    <row r="172" spans="1:4" ht="13.05" customHeight="1" x14ac:dyDescent="0.3">
      <c r="A172" s="2" t="s">
        <v>48</v>
      </c>
      <c r="B172" s="2" t="s">
        <v>1014</v>
      </c>
      <c r="C172" s="5" t="s">
        <v>1021</v>
      </c>
      <c r="D172" s="2" t="s">
        <v>1084</v>
      </c>
    </row>
    <row r="173" spans="1:4" ht="13.05" customHeight="1" x14ac:dyDescent="0.3">
      <c r="A173" s="2" t="s">
        <v>48</v>
      </c>
      <c r="B173" s="2" t="s">
        <v>1014</v>
      </c>
      <c r="C173" s="5" t="s">
        <v>1023</v>
      </c>
      <c r="D173" s="2" t="s">
        <v>1085</v>
      </c>
    </row>
    <row r="174" spans="1:4" ht="13.05" customHeight="1" x14ac:dyDescent="0.3">
      <c r="A174" s="2" t="s">
        <v>48</v>
      </c>
      <c r="B174" s="2" t="s">
        <v>1014</v>
      </c>
      <c r="C174" s="5" t="s">
        <v>1025</v>
      </c>
      <c r="D174" s="2" t="s">
        <v>1055</v>
      </c>
    </row>
    <row r="175" spans="1:4" ht="13.05" customHeight="1" x14ac:dyDescent="0.3">
      <c r="A175" s="2" t="s">
        <v>48</v>
      </c>
      <c r="B175" s="2" t="s">
        <v>1014</v>
      </c>
      <c r="C175" s="5" t="s">
        <v>1027</v>
      </c>
      <c r="D175" s="2" t="s">
        <v>1056</v>
      </c>
    </row>
    <row r="176" spans="1:4" ht="13.05" customHeight="1" x14ac:dyDescent="0.3">
      <c r="A176" s="2" t="s">
        <v>48</v>
      </c>
      <c r="B176" s="2" t="s">
        <v>1014</v>
      </c>
      <c r="C176" s="5" t="s">
        <v>1029</v>
      </c>
      <c r="D176" s="2" t="s">
        <v>1057</v>
      </c>
    </row>
    <row r="177" spans="1:4" ht="13.05" customHeight="1" x14ac:dyDescent="0.3">
      <c r="A177" s="2" t="s">
        <v>48</v>
      </c>
      <c r="B177" s="2" t="s">
        <v>1014</v>
      </c>
      <c r="C177" s="5" t="s">
        <v>1031</v>
      </c>
      <c r="D177" s="2" t="s">
        <v>1058</v>
      </c>
    </row>
    <row r="178" spans="1:4" ht="13.05" customHeight="1" x14ac:dyDescent="0.3">
      <c r="A178" s="2" t="s">
        <v>48</v>
      </c>
      <c r="B178" s="2" t="s">
        <v>1014</v>
      </c>
      <c r="C178" s="5" t="s">
        <v>1040</v>
      </c>
      <c r="D178" s="2" t="s">
        <v>1059</v>
      </c>
    </row>
    <row r="179" spans="1:4" ht="13.05" customHeight="1" x14ac:dyDescent="0.3">
      <c r="A179" s="2" t="s">
        <v>48</v>
      </c>
      <c r="B179" s="2" t="s">
        <v>1014</v>
      </c>
      <c r="C179" s="5" t="s">
        <v>1042</v>
      </c>
      <c r="D179" s="2" t="s">
        <v>1060</v>
      </c>
    </row>
    <row r="180" spans="1:4" ht="13.05" customHeight="1" x14ac:dyDescent="0.3">
      <c r="A180" s="2" t="s">
        <v>48</v>
      </c>
      <c r="B180" s="2" t="s">
        <v>1014</v>
      </c>
      <c r="C180" s="5" t="s">
        <v>1061</v>
      </c>
      <c r="D180" s="2" t="s">
        <v>1062</v>
      </c>
    </row>
    <row r="181" spans="1:4" ht="13.05" customHeight="1" x14ac:dyDescent="0.3">
      <c r="A181" s="2" t="s">
        <v>48</v>
      </c>
      <c r="B181" s="2" t="s">
        <v>1014</v>
      </c>
      <c r="C181" s="5" t="s">
        <v>1063</v>
      </c>
      <c r="D181" s="2" t="s">
        <v>1064</v>
      </c>
    </row>
    <row r="182" spans="1:4" ht="13.05" customHeight="1" x14ac:dyDescent="0.3">
      <c r="A182" s="2" t="s">
        <v>48</v>
      </c>
      <c r="B182" s="2" t="s">
        <v>1014</v>
      </c>
      <c r="C182" s="5" t="s">
        <v>1065</v>
      </c>
      <c r="D182" s="2" t="s">
        <v>1066</v>
      </c>
    </row>
    <row r="183" spans="1:4" ht="13.05" customHeight="1" x14ac:dyDescent="0.3">
      <c r="A183" s="2" t="s">
        <v>48</v>
      </c>
      <c r="B183" s="2" t="s">
        <v>1014</v>
      </c>
      <c r="C183" s="5" t="s">
        <v>1067</v>
      </c>
      <c r="D183" s="2" t="s">
        <v>1068</v>
      </c>
    </row>
    <row r="184" spans="1:4" ht="13.05" customHeight="1" x14ac:dyDescent="0.3">
      <c r="A184" s="2" t="s">
        <v>48</v>
      </c>
      <c r="B184" s="2" t="s">
        <v>1014</v>
      </c>
      <c r="C184" s="5" t="s">
        <v>1069</v>
      </c>
      <c r="D184" s="2" t="s">
        <v>1070</v>
      </c>
    </row>
    <row r="185" spans="1:4" ht="13.05" customHeight="1" x14ac:dyDescent="0.3">
      <c r="A185" s="2" t="s">
        <v>48</v>
      </c>
      <c r="B185" s="2" t="s">
        <v>1014</v>
      </c>
      <c r="C185" s="5" t="s">
        <v>1071</v>
      </c>
      <c r="D185" s="2" t="s">
        <v>1072</v>
      </c>
    </row>
    <row r="186" spans="1:4" ht="13.05" customHeight="1" x14ac:dyDescent="0.3">
      <c r="A186" s="2" t="s">
        <v>48</v>
      </c>
      <c r="B186" s="2" t="s">
        <v>1014</v>
      </c>
      <c r="C186" s="5" t="s">
        <v>1073</v>
      </c>
      <c r="D186" s="2" t="s">
        <v>1074</v>
      </c>
    </row>
    <row r="187" spans="1:4" ht="13.05" customHeight="1" x14ac:dyDescent="0.3">
      <c r="A187" s="2" t="s">
        <v>48</v>
      </c>
      <c r="B187" s="2" t="s">
        <v>1014</v>
      </c>
      <c r="C187" s="5" t="s">
        <v>1075</v>
      </c>
      <c r="D187" s="2" t="s">
        <v>1076</v>
      </c>
    </row>
    <row r="188" spans="1:4" ht="13.05" customHeight="1" x14ac:dyDescent="0.3">
      <c r="A188" s="2" t="s">
        <v>48</v>
      </c>
      <c r="B188" s="2" t="s">
        <v>1014</v>
      </c>
      <c r="C188" s="5" t="s">
        <v>1077</v>
      </c>
      <c r="D188" s="2" t="s">
        <v>1078</v>
      </c>
    </row>
    <row r="189" spans="1:4" ht="13.05" customHeight="1" x14ac:dyDescent="0.3">
      <c r="A189" s="2" t="s">
        <v>48</v>
      </c>
      <c r="B189" s="2" t="s">
        <v>1014</v>
      </c>
      <c r="C189" s="5" t="s">
        <v>1079</v>
      </c>
      <c r="D189" s="2" t="s">
        <v>1080</v>
      </c>
    </row>
    <row r="190" spans="1:4" ht="13.05" customHeight="1" x14ac:dyDescent="0.3">
      <c r="A190" s="2" t="s">
        <v>48</v>
      </c>
      <c r="B190" s="2" t="s">
        <v>1014</v>
      </c>
      <c r="C190" s="5" t="s">
        <v>1081</v>
      </c>
      <c r="D190" s="2" t="s">
        <v>1082</v>
      </c>
    </row>
    <row r="191" spans="1:4" ht="13.05" customHeight="1" x14ac:dyDescent="0.3">
      <c r="A191" s="2" t="s">
        <v>48</v>
      </c>
      <c r="B191" s="2" t="s">
        <v>1014</v>
      </c>
      <c r="C191" s="5" t="s">
        <v>1052</v>
      </c>
      <c r="D191" s="2" t="s">
        <v>1083</v>
      </c>
    </row>
    <row r="192" spans="1:4" ht="13.05" customHeight="1" x14ac:dyDescent="0.3">
      <c r="A192" s="2" t="s">
        <v>50</v>
      </c>
      <c r="B192" s="2" t="s">
        <v>1033</v>
      </c>
      <c r="C192" s="5" t="s">
        <v>1015</v>
      </c>
      <c r="D192" s="2" t="s">
        <v>1016</v>
      </c>
    </row>
    <row r="193" spans="1:4" ht="13.05" customHeight="1" x14ac:dyDescent="0.3">
      <c r="A193" s="2" t="s">
        <v>50</v>
      </c>
      <c r="B193" s="2" t="s">
        <v>1033</v>
      </c>
      <c r="C193" s="5" t="s">
        <v>1017</v>
      </c>
      <c r="D193" s="2" t="s">
        <v>1086</v>
      </c>
    </row>
    <row r="194" spans="1:4" ht="13.05" customHeight="1" x14ac:dyDescent="0.3">
      <c r="A194" s="2" t="s">
        <v>50</v>
      </c>
      <c r="B194" s="2" t="s">
        <v>1033</v>
      </c>
      <c r="C194" s="5" t="s">
        <v>1019</v>
      </c>
      <c r="D194" s="2" t="s">
        <v>1020</v>
      </c>
    </row>
    <row r="195" spans="1:4" ht="13.05" customHeight="1" x14ac:dyDescent="0.3">
      <c r="A195" s="2" t="s">
        <v>50</v>
      </c>
      <c r="B195" s="2" t="s">
        <v>1033</v>
      </c>
      <c r="C195" s="5" t="s">
        <v>1021</v>
      </c>
      <c r="D195" s="2" t="s">
        <v>1087</v>
      </c>
    </row>
    <row r="196" spans="1:4" ht="13.05" customHeight="1" x14ac:dyDescent="0.3">
      <c r="A196" s="2" t="s">
        <v>50</v>
      </c>
      <c r="B196" s="2" t="s">
        <v>1033</v>
      </c>
      <c r="C196" s="5" t="s">
        <v>1023</v>
      </c>
      <c r="D196" s="2" t="s">
        <v>1088</v>
      </c>
    </row>
    <row r="197" spans="1:4" ht="13.05" customHeight="1" x14ac:dyDescent="0.3">
      <c r="A197" s="2" t="s">
        <v>50</v>
      </c>
      <c r="B197" s="2" t="s">
        <v>1033</v>
      </c>
      <c r="C197" s="5" t="s">
        <v>1025</v>
      </c>
      <c r="D197" s="2" t="s">
        <v>1089</v>
      </c>
    </row>
    <row r="198" spans="1:4" ht="13.05" customHeight="1" x14ac:dyDescent="0.3">
      <c r="A198" s="2" t="s">
        <v>50</v>
      </c>
      <c r="B198" s="2" t="s">
        <v>1033</v>
      </c>
      <c r="C198" s="5" t="s">
        <v>1027</v>
      </c>
      <c r="D198" s="2" t="s">
        <v>1090</v>
      </c>
    </row>
    <row r="199" spans="1:4" ht="13.05" customHeight="1" x14ac:dyDescent="0.3">
      <c r="A199" s="2" t="s">
        <v>50</v>
      </c>
      <c r="B199" s="2" t="s">
        <v>1033</v>
      </c>
      <c r="C199" s="5" t="s">
        <v>1029</v>
      </c>
      <c r="D199" s="2" t="s">
        <v>1091</v>
      </c>
    </row>
    <row r="200" spans="1:4" ht="13.05" customHeight="1" x14ac:dyDescent="0.3">
      <c r="A200" s="2" t="s">
        <v>53</v>
      </c>
      <c r="B200" s="2" t="s">
        <v>1033</v>
      </c>
      <c r="C200" s="5" t="s">
        <v>1015</v>
      </c>
      <c r="D200" s="2" t="s">
        <v>1092</v>
      </c>
    </row>
    <row r="201" spans="1:4" ht="13.05" customHeight="1" x14ac:dyDescent="0.3">
      <c r="A201" s="2" t="s">
        <v>53</v>
      </c>
      <c r="B201" s="2" t="s">
        <v>1033</v>
      </c>
      <c r="C201" s="5" t="s">
        <v>1017</v>
      </c>
      <c r="D201" s="2" t="s">
        <v>1018</v>
      </c>
    </row>
    <row r="202" spans="1:4" ht="13.05" customHeight="1" x14ac:dyDescent="0.3">
      <c r="A202" s="2" t="s">
        <v>53</v>
      </c>
      <c r="B202" s="2" t="s">
        <v>1033</v>
      </c>
      <c r="C202" s="5" t="s">
        <v>1019</v>
      </c>
      <c r="D202" s="2" t="s">
        <v>1020</v>
      </c>
    </row>
    <row r="203" spans="1:4" ht="13.05" customHeight="1" x14ac:dyDescent="0.3">
      <c r="A203" s="2" t="s">
        <v>53</v>
      </c>
      <c r="B203" s="2" t="s">
        <v>1033</v>
      </c>
      <c r="C203" s="5" t="s">
        <v>1021</v>
      </c>
      <c r="D203" s="2" t="s">
        <v>1093</v>
      </c>
    </row>
    <row r="204" spans="1:4" ht="13.05" customHeight="1" x14ac:dyDescent="0.3">
      <c r="A204" s="2" t="s">
        <v>53</v>
      </c>
      <c r="B204" s="2" t="s">
        <v>1033</v>
      </c>
      <c r="C204" s="5" t="s">
        <v>1023</v>
      </c>
      <c r="D204" s="2" t="s">
        <v>1094</v>
      </c>
    </row>
    <row r="205" spans="1:4" ht="13.05" customHeight="1" x14ac:dyDescent="0.3">
      <c r="A205" s="2" t="s">
        <v>53</v>
      </c>
      <c r="B205" s="2" t="s">
        <v>1033</v>
      </c>
      <c r="C205" s="5" t="s">
        <v>1025</v>
      </c>
      <c r="D205" s="2" t="s">
        <v>1095</v>
      </c>
    </row>
    <row r="206" spans="1:4" ht="13.05" customHeight="1" x14ac:dyDescent="0.3">
      <c r="A206" s="2" t="s">
        <v>53</v>
      </c>
      <c r="B206" s="2" t="s">
        <v>1033</v>
      </c>
      <c r="C206" s="5" t="s">
        <v>1027</v>
      </c>
      <c r="D206" s="2" t="s">
        <v>1096</v>
      </c>
    </row>
    <row r="207" spans="1:4" ht="13.05" customHeight="1" x14ac:dyDescent="0.3">
      <c r="A207" s="2" t="s">
        <v>53</v>
      </c>
      <c r="B207" s="2" t="s">
        <v>1033</v>
      </c>
      <c r="C207" s="5" t="s">
        <v>1029</v>
      </c>
      <c r="D207" s="2" t="s">
        <v>1097</v>
      </c>
    </row>
    <row r="208" spans="1:4" ht="13.05" customHeight="1" x14ac:dyDescent="0.3">
      <c r="A208" s="2" t="s">
        <v>56</v>
      </c>
      <c r="B208" s="2" t="s">
        <v>1014</v>
      </c>
      <c r="C208" s="5" t="s">
        <v>1015</v>
      </c>
      <c r="D208" s="2" t="s">
        <v>1092</v>
      </c>
    </row>
    <row r="209" spans="1:4" ht="13.05" customHeight="1" x14ac:dyDescent="0.3">
      <c r="A209" s="2" t="s">
        <v>56</v>
      </c>
      <c r="B209" s="2" t="s">
        <v>1014</v>
      </c>
      <c r="C209" s="5" t="s">
        <v>1017</v>
      </c>
      <c r="D209" s="2" t="s">
        <v>1086</v>
      </c>
    </row>
    <row r="210" spans="1:4" ht="13.05" customHeight="1" x14ac:dyDescent="0.3">
      <c r="A210" s="2" t="s">
        <v>56</v>
      </c>
      <c r="B210" s="2" t="s">
        <v>1014</v>
      </c>
      <c r="C210" s="5" t="s">
        <v>1019</v>
      </c>
      <c r="D210" s="2" t="s">
        <v>1020</v>
      </c>
    </row>
    <row r="211" spans="1:4" ht="13.05" customHeight="1" x14ac:dyDescent="0.3">
      <c r="A211" s="2" t="s">
        <v>59</v>
      </c>
      <c r="B211" s="2" t="s">
        <v>1014</v>
      </c>
      <c r="C211" s="5" t="s">
        <v>1044</v>
      </c>
      <c r="D211" s="2" t="s">
        <v>1045</v>
      </c>
    </row>
    <row r="212" spans="1:4" ht="13.05" customHeight="1" x14ac:dyDescent="0.3">
      <c r="A212" s="2" t="s">
        <v>59</v>
      </c>
      <c r="B212" s="2" t="s">
        <v>1014</v>
      </c>
      <c r="C212" s="5" t="s">
        <v>1015</v>
      </c>
      <c r="D212" s="2" t="s">
        <v>1016</v>
      </c>
    </row>
    <row r="213" spans="1:4" ht="13.05" customHeight="1" x14ac:dyDescent="0.3">
      <c r="A213" s="2" t="s">
        <v>59</v>
      </c>
      <c r="B213" s="2" t="s">
        <v>1014</v>
      </c>
      <c r="C213" s="5" t="s">
        <v>1017</v>
      </c>
      <c r="D213" s="2" t="s">
        <v>1018</v>
      </c>
    </row>
    <row r="214" spans="1:4" ht="13.05" customHeight="1" x14ac:dyDescent="0.3">
      <c r="A214" s="2" t="s">
        <v>59</v>
      </c>
      <c r="B214" s="2" t="s">
        <v>1014</v>
      </c>
      <c r="C214" s="5" t="s">
        <v>1019</v>
      </c>
      <c r="D214" s="2" t="s">
        <v>1020</v>
      </c>
    </row>
    <row r="215" spans="1:4" ht="13.05" customHeight="1" x14ac:dyDescent="0.3">
      <c r="A215" s="2" t="s">
        <v>59</v>
      </c>
      <c r="B215" s="2" t="s">
        <v>1014</v>
      </c>
      <c r="C215" s="5" t="s">
        <v>1021</v>
      </c>
      <c r="D215" s="2" t="s">
        <v>1098</v>
      </c>
    </row>
    <row r="216" spans="1:4" ht="13.05" customHeight="1" x14ac:dyDescent="0.3">
      <c r="A216" s="2" t="s">
        <v>59</v>
      </c>
      <c r="B216" s="2" t="s">
        <v>1014</v>
      </c>
      <c r="C216" s="5" t="s">
        <v>1023</v>
      </c>
      <c r="D216" s="2" t="s">
        <v>1099</v>
      </c>
    </row>
    <row r="217" spans="1:4" ht="13.05" customHeight="1" x14ac:dyDescent="0.3">
      <c r="A217" s="2" t="s">
        <v>59</v>
      </c>
      <c r="B217" s="2" t="s">
        <v>1014</v>
      </c>
      <c r="C217" s="5" t="s">
        <v>1025</v>
      </c>
      <c r="D217" s="2" t="s">
        <v>1100</v>
      </c>
    </row>
    <row r="218" spans="1:4" ht="13.05" customHeight="1" x14ac:dyDescent="0.3">
      <c r="A218" s="2" t="s">
        <v>59</v>
      </c>
      <c r="B218" s="2" t="s">
        <v>1014</v>
      </c>
      <c r="C218" s="5" t="s">
        <v>1027</v>
      </c>
      <c r="D218" s="2" t="s">
        <v>1101</v>
      </c>
    </row>
    <row r="219" spans="1:4" ht="13.05" customHeight="1" x14ac:dyDescent="0.3">
      <c r="A219" s="2" t="s">
        <v>59</v>
      </c>
      <c r="B219" s="2" t="s">
        <v>1014</v>
      </c>
      <c r="C219" s="5" t="s">
        <v>1029</v>
      </c>
      <c r="D219" s="2" t="s">
        <v>1102</v>
      </c>
    </row>
    <row r="220" spans="1:4" ht="13.05" customHeight="1" x14ac:dyDescent="0.3">
      <c r="A220" s="2" t="s">
        <v>59</v>
      </c>
      <c r="B220" s="2" t="s">
        <v>1014</v>
      </c>
      <c r="C220" s="5" t="s">
        <v>1031</v>
      </c>
      <c r="D220" s="2" t="s">
        <v>1103</v>
      </c>
    </row>
    <row r="221" spans="1:4" ht="13.05" customHeight="1" x14ac:dyDescent="0.3">
      <c r="A221" s="2" t="s">
        <v>59</v>
      </c>
      <c r="B221" s="2" t="s">
        <v>1014</v>
      </c>
      <c r="C221" s="5" t="s">
        <v>1040</v>
      </c>
      <c r="D221" s="2" t="s">
        <v>1104</v>
      </c>
    </row>
    <row r="222" spans="1:4" ht="13.05" customHeight="1" x14ac:dyDescent="0.3">
      <c r="A222" s="2" t="s">
        <v>62</v>
      </c>
      <c r="B222" s="2" t="s">
        <v>1014</v>
      </c>
      <c r="C222" s="5" t="s">
        <v>1044</v>
      </c>
      <c r="D222" s="2" t="s">
        <v>1045</v>
      </c>
    </row>
    <row r="223" spans="1:4" ht="13.05" customHeight="1" x14ac:dyDescent="0.3">
      <c r="A223" s="2" t="s">
        <v>62</v>
      </c>
      <c r="B223" s="2" t="s">
        <v>1014</v>
      </c>
      <c r="C223" s="5" t="s">
        <v>1015</v>
      </c>
      <c r="D223" s="2" t="s">
        <v>1016</v>
      </c>
    </row>
    <row r="224" spans="1:4" ht="13.05" customHeight="1" x14ac:dyDescent="0.3">
      <c r="A224" s="2" t="s">
        <v>62</v>
      </c>
      <c r="B224" s="2" t="s">
        <v>1014</v>
      </c>
      <c r="C224" s="5" t="s">
        <v>1017</v>
      </c>
      <c r="D224" s="2" t="s">
        <v>1018</v>
      </c>
    </row>
    <row r="225" spans="1:4" ht="13.05" customHeight="1" x14ac:dyDescent="0.3">
      <c r="A225" s="2" t="s">
        <v>62</v>
      </c>
      <c r="B225" s="2" t="s">
        <v>1014</v>
      </c>
      <c r="C225" s="5" t="s">
        <v>1019</v>
      </c>
      <c r="D225" s="2" t="s">
        <v>1020</v>
      </c>
    </row>
    <row r="226" spans="1:4" ht="13.05" customHeight="1" x14ac:dyDescent="0.3">
      <c r="A226" s="2" t="s">
        <v>62</v>
      </c>
      <c r="B226" s="2" t="s">
        <v>1014</v>
      </c>
      <c r="C226" s="5" t="s">
        <v>1021</v>
      </c>
      <c r="D226" s="2" t="s">
        <v>1098</v>
      </c>
    </row>
    <row r="227" spans="1:4" ht="13.05" customHeight="1" x14ac:dyDescent="0.3">
      <c r="A227" s="2" t="s">
        <v>62</v>
      </c>
      <c r="B227" s="2" t="s">
        <v>1014</v>
      </c>
      <c r="C227" s="5" t="s">
        <v>1023</v>
      </c>
      <c r="D227" s="2" t="s">
        <v>1099</v>
      </c>
    </row>
    <row r="228" spans="1:4" ht="13.05" customHeight="1" x14ac:dyDescent="0.3">
      <c r="A228" s="2" t="s">
        <v>62</v>
      </c>
      <c r="B228" s="2" t="s">
        <v>1014</v>
      </c>
      <c r="C228" s="5" t="s">
        <v>1025</v>
      </c>
      <c r="D228" s="2" t="s">
        <v>1100</v>
      </c>
    </row>
    <row r="229" spans="1:4" ht="13.05" customHeight="1" x14ac:dyDescent="0.3">
      <c r="A229" s="2" t="s">
        <v>62</v>
      </c>
      <c r="B229" s="2" t="s">
        <v>1014</v>
      </c>
      <c r="C229" s="5" t="s">
        <v>1027</v>
      </c>
      <c r="D229" s="2" t="s">
        <v>1101</v>
      </c>
    </row>
    <row r="230" spans="1:4" ht="13.05" customHeight="1" x14ac:dyDescent="0.3">
      <c r="A230" s="2" t="s">
        <v>62</v>
      </c>
      <c r="B230" s="2" t="s">
        <v>1014</v>
      </c>
      <c r="C230" s="5" t="s">
        <v>1029</v>
      </c>
      <c r="D230" s="2" t="s">
        <v>1102</v>
      </c>
    </row>
    <row r="231" spans="1:4" ht="13.05" customHeight="1" x14ac:dyDescent="0.3">
      <c r="A231" s="2" t="s">
        <v>62</v>
      </c>
      <c r="B231" s="2" t="s">
        <v>1014</v>
      </c>
      <c r="C231" s="5" t="s">
        <v>1031</v>
      </c>
      <c r="D231" s="2" t="s">
        <v>1103</v>
      </c>
    </row>
    <row r="232" spans="1:4" ht="13.05" customHeight="1" x14ac:dyDescent="0.3">
      <c r="A232" s="2" t="s">
        <v>62</v>
      </c>
      <c r="B232" s="2" t="s">
        <v>1014</v>
      </c>
      <c r="C232" s="5" t="s">
        <v>1040</v>
      </c>
      <c r="D232" s="2" t="s">
        <v>1104</v>
      </c>
    </row>
    <row r="233" spans="1:4" ht="13.05" customHeight="1" x14ac:dyDescent="0.3">
      <c r="A233" s="2" t="s">
        <v>64</v>
      </c>
      <c r="B233" s="2" t="s">
        <v>1014</v>
      </c>
      <c r="C233" s="5" t="s">
        <v>1044</v>
      </c>
      <c r="D233" s="2" t="s">
        <v>1045</v>
      </c>
    </row>
    <row r="234" spans="1:4" ht="13.05" customHeight="1" x14ac:dyDescent="0.3">
      <c r="A234" s="2" t="s">
        <v>64</v>
      </c>
      <c r="B234" s="2" t="s">
        <v>1014</v>
      </c>
      <c r="C234" s="5" t="s">
        <v>1015</v>
      </c>
      <c r="D234" s="2" t="s">
        <v>1016</v>
      </c>
    </row>
    <row r="235" spans="1:4" ht="13.05" customHeight="1" x14ac:dyDescent="0.3">
      <c r="A235" s="2" t="s">
        <v>64</v>
      </c>
      <c r="B235" s="2" t="s">
        <v>1014</v>
      </c>
      <c r="C235" s="5" t="s">
        <v>1017</v>
      </c>
      <c r="D235" s="2" t="s">
        <v>1018</v>
      </c>
    </row>
    <row r="236" spans="1:4" ht="13.05" customHeight="1" x14ac:dyDescent="0.3">
      <c r="A236" s="2" t="s">
        <v>64</v>
      </c>
      <c r="B236" s="2" t="s">
        <v>1014</v>
      </c>
      <c r="C236" s="5" t="s">
        <v>1019</v>
      </c>
      <c r="D236" s="2" t="s">
        <v>1020</v>
      </c>
    </row>
    <row r="237" spans="1:4" ht="13.05" customHeight="1" x14ac:dyDescent="0.3">
      <c r="A237" s="2" t="s">
        <v>64</v>
      </c>
      <c r="B237" s="2" t="s">
        <v>1014</v>
      </c>
      <c r="C237" s="5" t="s">
        <v>1021</v>
      </c>
      <c r="D237" s="2" t="s">
        <v>1098</v>
      </c>
    </row>
    <row r="238" spans="1:4" ht="13.05" customHeight="1" x14ac:dyDescent="0.3">
      <c r="A238" s="2" t="s">
        <v>64</v>
      </c>
      <c r="B238" s="2" t="s">
        <v>1014</v>
      </c>
      <c r="C238" s="5" t="s">
        <v>1023</v>
      </c>
      <c r="D238" s="2" t="s">
        <v>1099</v>
      </c>
    </row>
    <row r="239" spans="1:4" ht="13.05" customHeight="1" x14ac:dyDescent="0.3">
      <c r="A239" s="2" t="s">
        <v>64</v>
      </c>
      <c r="B239" s="2" t="s">
        <v>1014</v>
      </c>
      <c r="C239" s="5" t="s">
        <v>1025</v>
      </c>
      <c r="D239" s="2" t="s">
        <v>1100</v>
      </c>
    </row>
    <row r="240" spans="1:4" ht="13.05" customHeight="1" x14ac:dyDescent="0.3">
      <c r="A240" s="2" t="s">
        <v>64</v>
      </c>
      <c r="B240" s="2" t="s">
        <v>1014</v>
      </c>
      <c r="C240" s="5" t="s">
        <v>1027</v>
      </c>
      <c r="D240" s="2" t="s">
        <v>1101</v>
      </c>
    </row>
    <row r="241" spans="1:4" ht="13.05" customHeight="1" x14ac:dyDescent="0.3">
      <c r="A241" s="2" t="s">
        <v>64</v>
      </c>
      <c r="B241" s="2" t="s">
        <v>1014</v>
      </c>
      <c r="C241" s="5" t="s">
        <v>1029</v>
      </c>
      <c r="D241" s="2" t="s">
        <v>1102</v>
      </c>
    </row>
    <row r="242" spans="1:4" ht="13.05" customHeight="1" x14ac:dyDescent="0.3">
      <c r="A242" s="2" t="s">
        <v>64</v>
      </c>
      <c r="B242" s="2" t="s">
        <v>1014</v>
      </c>
      <c r="C242" s="5" t="s">
        <v>1031</v>
      </c>
      <c r="D242" s="2" t="s">
        <v>1103</v>
      </c>
    </row>
    <row r="243" spans="1:4" ht="13.05" customHeight="1" x14ac:dyDescent="0.3">
      <c r="A243" s="2" t="s">
        <v>64</v>
      </c>
      <c r="B243" s="2" t="s">
        <v>1014</v>
      </c>
      <c r="C243" s="5" t="s">
        <v>1040</v>
      </c>
      <c r="D243" s="2" t="s">
        <v>1104</v>
      </c>
    </row>
    <row r="244" spans="1:4" ht="13.05" customHeight="1" x14ac:dyDescent="0.3">
      <c r="A244" s="2" t="s">
        <v>66</v>
      </c>
      <c r="B244" s="2" t="s">
        <v>1014</v>
      </c>
      <c r="C244" s="5" t="s">
        <v>1044</v>
      </c>
      <c r="D244" s="2" t="s">
        <v>1045</v>
      </c>
    </row>
    <row r="245" spans="1:4" ht="13.05" customHeight="1" x14ac:dyDescent="0.3">
      <c r="A245" s="2" t="s">
        <v>66</v>
      </c>
      <c r="B245" s="2" t="s">
        <v>1014</v>
      </c>
      <c r="C245" s="5" t="s">
        <v>1015</v>
      </c>
      <c r="D245" s="2" t="s">
        <v>1016</v>
      </c>
    </row>
    <row r="246" spans="1:4" ht="13.05" customHeight="1" x14ac:dyDescent="0.3">
      <c r="A246" s="2" t="s">
        <v>66</v>
      </c>
      <c r="B246" s="2" t="s">
        <v>1014</v>
      </c>
      <c r="C246" s="5" t="s">
        <v>1017</v>
      </c>
      <c r="D246" s="2" t="s">
        <v>1018</v>
      </c>
    </row>
    <row r="247" spans="1:4" ht="13.05" customHeight="1" x14ac:dyDescent="0.3">
      <c r="A247" s="2" t="s">
        <v>66</v>
      </c>
      <c r="B247" s="2" t="s">
        <v>1014</v>
      </c>
      <c r="C247" s="5" t="s">
        <v>1019</v>
      </c>
      <c r="D247" s="2" t="s">
        <v>1020</v>
      </c>
    </row>
    <row r="248" spans="1:4" ht="13.05" customHeight="1" x14ac:dyDescent="0.3">
      <c r="A248" s="2" t="s">
        <v>66</v>
      </c>
      <c r="B248" s="2" t="s">
        <v>1014</v>
      </c>
      <c r="C248" s="5" t="s">
        <v>1021</v>
      </c>
      <c r="D248" s="2" t="s">
        <v>1098</v>
      </c>
    </row>
    <row r="249" spans="1:4" ht="13.05" customHeight="1" x14ac:dyDescent="0.3">
      <c r="A249" s="2" t="s">
        <v>66</v>
      </c>
      <c r="B249" s="2" t="s">
        <v>1014</v>
      </c>
      <c r="C249" s="5" t="s">
        <v>1023</v>
      </c>
      <c r="D249" s="2" t="s">
        <v>1099</v>
      </c>
    </row>
    <row r="250" spans="1:4" ht="13.05" customHeight="1" x14ac:dyDescent="0.3">
      <c r="A250" s="2" t="s">
        <v>66</v>
      </c>
      <c r="B250" s="2" t="s">
        <v>1014</v>
      </c>
      <c r="C250" s="5" t="s">
        <v>1025</v>
      </c>
      <c r="D250" s="2" t="s">
        <v>1100</v>
      </c>
    </row>
    <row r="251" spans="1:4" ht="13.05" customHeight="1" x14ac:dyDescent="0.3">
      <c r="A251" s="2" t="s">
        <v>66</v>
      </c>
      <c r="B251" s="2" t="s">
        <v>1014</v>
      </c>
      <c r="C251" s="5" t="s">
        <v>1027</v>
      </c>
      <c r="D251" s="2" t="s">
        <v>1101</v>
      </c>
    </row>
    <row r="252" spans="1:4" ht="13.05" customHeight="1" x14ac:dyDescent="0.3">
      <c r="A252" s="2" t="s">
        <v>66</v>
      </c>
      <c r="B252" s="2" t="s">
        <v>1014</v>
      </c>
      <c r="C252" s="5" t="s">
        <v>1029</v>
      </c>
      <c r="D252" s="2" t="s">
        <v>1102</v>
      </c>
    </row>
    <row r="253" spans="1:4" ht="13.05" customHeight="1" x14ac:dyDescent="0.3">
      <c r="A253" s="2" t="s">
        <v>66</v>
      </c>
      <c r="B253" s="2" t="s">
        <v>1014</v>
      </c>
      <c r="C253" s="5" t="s">
        <v>1031</v>
      </c>
      <c r="D253" s="2" t="s">
        <v>1103</v>
      </c>
    </row>
    <row r="254" spans="1:4" ht="13.05" customHeight="1" x14ac:dyDescent="0.3">
      <c r="A254" s="2" t="s">
        <v>66</v>
      </c>
      <c r="B254" s="2" t="s">
        <v>1014</v>
      </c>
      <c r="C254" s="5" t="s">
        <v>1040</v>
      </c>
      <c r="D254" s="2" t="s">
        <v>1104</v>
      </c>
    </row>
    <row r="255" spans="1:4" ht="13.05" customHeight="1" x14ac:dyDescent="0.3">
      <c r="A255" s="2" t="s">
        <v>68</v>
      </c>
      <c r="B255" s="2" t="s">
        <v>1014</v>
      </c>
      <c r="C255" s="5" t="s">
        <v>1044</v>
      </c>
      <c r="D255" s="2" t="s">
        <v>1045</v>
      </c>
    </row>
    <row r="256" spans="1:4" ht="13.05" customHeight="1" x14ac:dyDescent="0.3">
      <c r="A256" s="2" t="s">
        <v>68</v>
      </c>
      <c r="B256" s="2" t="s">
        <v>1014</v>
      </c>
      <c r="C256" s="5" t="s">
        <v>1015</v>
      </c>
      <c r="D256" s="2" t="s">
        <v>1016</v>
      </c>
    </row>
    <row r="257" spans="1:4" ht="13.05" customHeight="1" x14ac:dyDescent="0.3">
      <c r="A257" s="2" t="s">
        <v>68</v>
      </c>
      <c r="B257" s="2" t="s">
        <v>1014</v>
      </c>
      <c r="C257" s="5" t="s">
        <v>1017</v>
      </c>
      <c r="D257" s="2" t="s">
        <v>1018</v>
      </c>
    </row>
    <row r="258" spans="1:4" ht="13.05" customHeight="1" x14ac:dyDescent="0.3">
      <c r="A258" s="2" t="s">
        <v>68</v>
      </c>
      <c r="B258" s="2" t="s">
        <v>1014</v>
      </c>
      <c r="C258" s="5" t="s">
        <v>1019</v>
      </c>
      <c r="D258" s="2" t="s">
        <v>1020</v>
      </c>
    </row>
    <row r="259" spans="1:4" ht="13.05" customHeight="1" x14ac:dyDescent="0.3">
      <c r="A259" s="2" t="s">
        <v>68</v>
      </c>
      <c r="B259" s="2" t="s">
        <v>1014</v>
      </c>
      <c r="C259" s="5" t="s">
        <v>1021</v>
      </c>
      <c r="D259" s="2" t="s">
        <v>1098</v>
      </c>
    </row>
    <row r="260" spans="1:4" ht="13.05" customHeight="1" x14ac:dyDescent="0.3">
      <c r="A260" s="2" t="s">
        <v>68</v>
      </c>
      <c r="B260" s="2" t="s">
        <v>1014</v>
      </c>
      <c r="C260" s="5" t="s">
        <v>1023</v>
      </c>
      <c r="D260" s="2" t="s">
        <v>1099</v>
      </c>
    </row>
    <row r="261" spans="1:4" ht="13.05" customHeight="1" x14ac:dyDescent="0.3">
      <c r="A261" s="2" t="s">
        <v>68</v>
      </c>
      <c r="B261" s="2" t="s">
        <v>1014</v>
      </c>
      <c r="C261" s="5" t="s">
        <v>1025</v>
      </c>
      <c r="D261" s="2" t="s">
        <v>1100</v>
      </c>
    </row>
    <row r="262" spans="1:4" ht="13.05" customHeight="1" x14ac:dyDescent="0.3">
      <c r="A262" s="2" t="s">
        <v>68</v>
      </c>
      <c r="B262" s="2" t="s">
        <v>1014</v>
      </c>
      <c r="C262" s="5" t="s">
        <v>1027</v>
      </c>
      <c r="D262" s="2" t="s">
        <v>1101</v>
      </c>
    </row>
    <row r="263" spans="1:4" ht="13.05" customHeight="1" x14ac:dyDescent="0.3">
      <c r="A263" s="2" t="s">
        <v>68</v>
      </c>
      <c r="B263" s="2" t="s">
        <v>1014</v>
      </c>
      <c r="C263" s="5" t="s">
        <v>1029</v>
      </c>
      <c r="D263" s="2" t="s">
        <v>1102</v>
      </c>
    </row>
    <row r="264" spans="1:4" ht="13.05" customHeight="1" x14ac:dyDescent="0.3">
      <c r="A264" s="2" t="s">
        <v>68</v>
      </c>
      <c r="B264" s="2" t="s">
        <v>1014</v>
      </c>
      <c r="C264" s="5" t="s">
        <v>1031</v>
      </c>
      <c r="D264" s="2" t="s">
        <v>1103</v>
      </c>
    </row>
    <row r="265" spans="1:4" ht="13.05" customHeight="1" x14ac:dyDescent="0.3">
      <c r="A265" s="2" t="s">
        <v>68</v>
      </c>
      <c r="B265" s="2" t="s">
        <v>1014</v>
      </c>
      <c r="C265" s="5" t="s">
        <v>1040</v>
      </c>
      <c r="D265" s="2" t="s">
        <v>1104</v>
      </c>
    </row>
    <row r="266" spans="1:4" ht="13.05" customHeight="1" x14ac:dyDescent="0.3">
      <c r="A266" s="2" t="s">
        <v>70</v>
      </c>
      <c r="B266" s="2" t="s">
        <v>1014</v>
      </c>
      <c r="C266" s="5" t="s">
        <v>1044</v>
      </c>
      <c r="D266" s="2" t="s">
        <v>1045</v>
      </c>
    </row>
    <row r="267" spans="1:4" ht="13.05" customHeight="1" x14ac:dyDescent="0.3">
      <c r="A267" s="2" t="s">
        <v>70</v>
      </c>
      <c r="B267" s="2" t="s">
        <v>1014</v>
      </c>
      <c r="C267" s="5" t="s">
        <v>1015</v>
      </c>
      <c r="D267" s="2" t="s">
        <v>1016</v>
      </c>
    </row>
    <row r="268" spans="1:4" ht="13.05" customHeight="1" x14ac:dyDescent="0.3">
      <c r="A268" s="2" t="s">
        <v>70</v>
      </c>
      <c r="B268" s="2" t="s">
        <v>1014</v>
      </c>
      <c r="C268" s="5" t="s">
        <v>1017</v>
      </c>
      <c r="D268" s="2" t="s">
        <v>1018</v>
      </c>
    </row>
    <row r="269" spans="1:4" ht="13.05" customHeight="1" x14ac:dyDescent="0.3">
      <c r="A269" s="2" t="s">
        <v>70</v>
      </c>
      <c r="B269" s="2" t="s">
        <v>1014</v>
      </c>
      <c r="C269" s="5" t="s">
        <v>1019</v>
      </c>
      <c r="D269" s="2" t="s">
        <v>1020</v>
      </c>
    </row>
    <row r="270" spans="1:4" ht="13.05" customHeight="1" x14ac:dyDescent="0.3">
      <c r="A270" s="2" t="s">
        <v>70</v>
      </c>
      <c r="B270" s="2" t="s">
        <v>1014</v>
      </c>
      <c r="C270" s="5" t="s">
        <v>1021</v>
      </c>
      <c r="D270" s="2" t="s">
        <v>1098</v>
      </c>
    </row>
    <row r="271" spans="1:4" ht="13.05" customHeight="1" x14ac:dyDescent="0.3">
      <c r="A271" s="2" t="s">
        <v>70</v>
      </c>
      <c r="B271" s="2" t="s">
        <v>1014</v>
      </c>
      <c r="C271" s="5" t="s">
        <v>1023</v>
      </c>
      <c r="D271" s="2" t="s">
        <v>1099</v>
      </c>
    </row>
    <row r="272" spans="1:4" ht="13.05" customHeight="1" x14ac:dyDescent="0.3">
      <c r="A272" s="2" t="s">
        <v>70</v>
      </c>
      <c r="B272" s="2" t="s">
        <v>1014</v>
      </c>
      <c r="C272" s="5" t="s">
        <v>1025</v>
      </c>
      <c r="D272" s="2" t="s">
        <v>1100</v>
      </c>
    </row>
    <row r="273" spans="1:4" ht="13.05" customHeight="1" x14ac:dyDescent="0.3">
      <c r="A273" s="2" t="s">
        <v>70</v>
      </c>
      <c r="B273" s="2" t="s">
        <v>1014</v>
      </c>
      <c r="C273" s="5" t="s">
        <v>1027</v>
      </c>
      <c r="D273" s="2" t="s">
        <v>1101</v>
      </c>
    </row>
    <row r="274" spans="1:4" ht="13.05" customHeight="1" x14ac:dyDescent="0.3">
      <c r="A274" s="2" t="s">
        <v>70</v>
      </c>
      <c r="B274" s="2" t="s">
        <v>1014</v>
      </c>
      <c r="C274" s="5" t="s">
        <v>1029</v>
      </c>
      <c r="D274" s="2" t="s">
        <v>1102</v>
      </c>
    </row>
    <row r="275" spans="1:4" ht="13.05" customHeight="1" x14ac:dyDescent="0.3">
      <c r="A275" s="2" t="s">
        <v>70</v>
      </c>
      <c r="B275" s="2" t="s">
        <v>1014</v>
      </c>
      <c r="C275" s="5" t="s">
        <v>1031</v>
      </c>
      <c r="D275" s="2" t="s">
        <v>1103</v>
      </c>
    </row>
    <row r="276" spans="1:4" ht="13.05" customHeight="1" x14ac:dyDescent="0.3">
      <c r="A276" s="2" t="s">
        <v>70</v>
      </c>
      <c r="B276" s="2" t="s">
        <v>1014</v>
      </c>
      <c r="C276" s="5" t="s">
        <v>1040</v>
      </c>
      <c r="D276" s="2" t="s">
        <v>1104</v>
      </c>
    </row>
    <row r="277" spans="1:4" ht="13.05" customHeight="1" x14ac:dyDescent="0.3">
      <c r="A277" s="2" t="s">
        <v>72</v>
      </c>
      <c r="B277" s="2" t="s">
        <v>1014</v>
      </c>
      <c r="C277" s="5" t="s">
        <v>1044</v>
      </c>
      <c r="D277" s="2" t="s">
        <v>1045</v>
      </c>
    </row>
    <row r="278" spans="1:4" ht="13.05" customHeight="1" x14ac:dyDescent="0.3">
      <c r="A278" s="2" t="s">
        <v>72</v>
      </c>
      <c r="B278" s="2" t="s">
        <v>1014</v>
      </c>
      <c r="C278" s="5" t="s">
        <v>1015</v>
      </c>
      <c r="D278" s="2" t="s">
        <v>1016</v>
      </c>
    </row>
    <row r="279" spans="1:4" ht="13.05" customHeight="1" x14ac:dyDescent="0.3">
      <c r="A279" s="2" t="s">
        <v>72</v>
      </c>
      <c r="B279" s="2" t="s">
        <v>1014</v>
      </c>
      <c r="C279" s="5" t="s">
        <v>1017</v>
      </c>
      <c r="D279" s="2" t="s">
        <v>1018</v>
      </c>
    </row>
    <row r="280" spans="1:4" ht="13.05" customHeight="1" x14ac:dyDescent="0.3">
      <c r="A280" s="2" t="s">
        <v>72</v>
      </c>
      <c r="B280" s="2" t="s">
        <v>1014</v>
      </c>
      <c r="C280" s="5" t="s">
        <v>1019</v>
      </c>
      <c r="D280" s="2" t="s">
        <v>1020</v>
      </c>
    </row>
    <row r="281" spans="1:4" ht="13.05" customHeight="1" x14ac:dyDescent="0.3">
      <c r="A281" s="2" t="s">
        <v>72</v>
      </c>
      <c r="B281" s="2" t="s">
        <v>1014</v>
      </c>
      <c r="C281" s="5" t="s">
        <v>1021</v>
      </c>
      <c r="D281" s="2" t="s">
        <v>1098</v>
      </c>
    </row>
    <row r="282" spans="1:4" ht="13.05" customHeight="1" x14ac:dyDescent="0.3">
      <c r="A282" s="2" t="s">
        <v>72</v>
      </c>
      <c r="B282" s="2" t="s">
        <v>1014</v>
      </c>
      <c r="C282" s="5" t="s">
        <v>1023</v>
      </c>
      <c r="D282" s="2" t="s">
        <v>1099</v>
      </c>
    </row>
    <row r="283" spans="1:4" ht="13.05" customHeight="1" x14ac:dyDescent="0.3">
      <c r="A283" s="2" t="s">
        <v>72</v>
      </c>
      <c r="B283" s="2" t="s">
        <v>1014</v>
      </c>
      <c r="C283" s="5" t="s">
        <v>1025</v>
      </c>
      <c r="D283" s="2" t="s">
        <v>1100</v>
      </c>
    </row>
    <row r="284" spans="1:4" ht="13.05" customHeight="1" x14ac:dyDescent="0.3">
      <c r="A284" s="2" t="s">
        <v>72</v>
      </c>
      <c r="B284" s="2" t="s">
        <v>1014</v>
      </c>
      <c r="C284" s="5" t="s">
        <v>1027</v>
      </c>
      <c r="D284" s="2" t="s">
        <v>1101</v>
      </c>
    </row>
    <row r="285" spans="1:4" ht="13.05" customHeight="1" x14ac:dyDescent="0.3">
      <c r="A285" s="2" t="s">
        <v>72</v>
      </c>
      <c r="B285" s="2" t="s">
        <v>1014</v>
      </c>
      <c r="C285" s="5" t="s">
        <v>1029</v>
      </c>
      <c r="D285" s="2" t="s">
        <v>1102</v>
      </c>
    </row>
    <row r="286" spans="1:4" ht="13.05" customHeight="1" x14ac:dyDescent="0.3">
      <c r="A286" s="2" t="s">
        <v>72</v>
      </c>
      <c r="B286" s="2" t="s">
        <v>1014</v>
      </c>
      <c r="C286" s="5" t="s">
        <v>1031</v>
      </c>
      <c r="D286" s="2" t="s">
        <v>1103</v>
      </c>
    </row>
    <row r="287" spans="1:4" ht="13.05" customHeight="1" x14ac:dyDescent="0.3">
      <c r="A287" s="2" t="s">
        <v>72</v>
      </c>
      <c r="B287" s="2" t="s">
        <v>1014</v>
      </c>
      <c r="C287" s="5" t="s">
        <v>1040</v>
      </c>
      <c r="D287" s="2" t="s">
        <v>1104</v>
      </c>
    </row>
    <row r="288" spans="1:4" ht="13.05" customHeight="1" x14ac:dyDescent="0.3">
      <c r="A288" s="2" t="s">
        <v>74</v>
      </c>
      <c r="B288" s="2" t="s">
        <v>1014</v>
      </c>
      <c r="C288" s="5" t="s">
        <v>1044</v>
      </c>
      <c r="D288" s="2" t="s">
        <v>1045</v>
      </c>
    </row>
    <row r="289" spans="1:4" ht="13.05" customHeight="1" x14ac:dyDescent="0.3">
      <c r="A289" s="2" t="s">
        <v>74</v>
      </c>
      <c r="B289" s="2" t="s">
        <v>1014</v>
      </c>
      <c r="C289" s="5" t="s">
        <v>1015</v>
      </c>
      <c r="D289" s="2" t="s">
        <v>1016</v>
      </c>
    </row>
    <row r="290" spans="1:4" ht="13.05" customHeight="1" x14ac:dyDescent="0.3">
      <c r="A290" s="2" t="s">
        <v>74</v>
      </c>
      <c r="B290" s="2" t="s">
        <v>1014</v>
      </c>
      <c r="C290" s="5" t="s">
        <v>1017</v>
      </c>
      <c r="D290" s="2" t="s">
        <v>1018</v>
      </c>
    </row>
    <row r="291" spans="1:4" ht="13.05" customHeight="1" x14ac:dyDescent="0.3">
      <c r="A291" s="2" t="s">
        <v>74</v>
      </c>
      <c r="B291" s="2" t="s">
        <v>1014</v>
      </c>
      <c r="C291" s="5" t="s">
        <v>1019</v>
      </c>
      <c r="D291" s="2" t="s">
        <v>1020</v>
      </c>
    </row>
    <row r="292" spans="1:4" ht="13.05" customHeight="1" x14ac:dyDescent="0.3">
      <c r="A292" s="2" t="s">
        <v>74</v>
      </c>
      <c r="B292" s="2" t="s">
        <v>1014</v>
      </c>
      <c r="C292" s="5" t="s">
        <v>1021</v>
      </c>
      <c r="D292" s="2" t="s">
        <v>1098</v>
      </c>
    </row>
    <row r="293" spans="1:4" ht="13.05" customHeight="1" x14ac:dyDescent="0.3">
      <c r="A293" s="2" t="s">
        <v>74</v>
      </c>
      <c r="B293" s="2" t="s">
        <v>1014</v>
      </c>
      <c r="C293" s="5" t="s">
        <v>1023</v>
      </c>
      <c r="D293" s="2" t="s">
        <v>1099</v>
      </c>
    </row>
    <row r="294" spans="1:4" ht="13.05" customHeight="1" x14ac:dyDescent="0.3">
      <c r="A294" s="2" t="s">
        <v>74</v>
      </c>
      <c r="B294" s="2" t="s">
        <v>1014</v>
      </c>
      <c r="C294" s="5" t="s">
        <v>1025</v>
      </c>
      <c r="D294" s="2" t="s">
        <v>1100</v>
      </c>
    </row>
    <row r="295" spans="1:4" ht="13.05" customHeight="1" x14ac:dyDescent="0.3">
      <c r="A295" s="2" t="s">
        <v>74</v>
      </c>
      <c r="B295" s="2" t="s">
        <v>1014</v>
      </c>
      <c r="C295" s="5" t="s">
        <v>1027</v>
      </c>
      <c r="D295" s="2" t="s">
        <v>1101</v>
      </c>
    </row>
    <row r="296" spans="1:4" ht="13.05" customHeight="1" x14ac:dyDescent="0.3">
      <c r="A296" s="2" t="s">
        <v>74</v>
      </c>
      <c r="B296" s="2" t="s">
        <v>1014</v>
      </c>
      <c r="C296" s="5" t="s">
        <v>1029</v>
      </c>
      <c r="D296" s="2" t="s">
        <v>1102</v>
      </c>
    </row>
    <row r="297" spans="1:4" ht="13.05" customHeight="1" x14ac:dyDescent="0.3">
      <c r="A297" s="2" t="s">
        <v>74</v>
      </c>
      <c r="B297" s="2" t="s">
        <v>1014</v>
      </c>
      <c r="C297" s="5" t="s">
        <v>1031</v>
      </c>
      <c r="D297" s="2" t="s">
        <v>1103</v>
      </c>
    </row>
    <row r="298" spans="1:4" ht="13.05" customHeight="1" x14ac:dyDescent="0.3">
      <c r="A298" s="2" t="s">
        <v>74</v>
      </c>
      <c r="B298" s="2" t="s">
        <v>1014</v>
      </c>
      <c r="C298" s="5" t="s">
        <v>1040</v>
      </c>
      <c r="D298" s="2" t="s">
        <v>1104</v>
      </c>
    </row>
    <row r="299" spans="1:4" ht="13.05" customHeight="1" x14ac:dyDescent="0.3">
      <c r="A299" s="2" t="s">
        <v>76</v>
      </c>
      <c r="B299" s="2" t="s">
        <v>1014</v>
      </c>
      <c r="C299" s="5" t="s">
        <v>1015</v>
      </c>
      <c r="D299" s="2" t="s">
        <v>1092</v>
      </c>
    </row>
    <row r="300" spans="1:4" ht="13.05" customHeight="1" x14ac:dyDescent="0.3">
      <c r="A300" s="2" t="s">
        <v>76</v>
      </c>
      <c r="B300" s="2" t="s">
        <v>1014</v>
      </c>
      <c r="C300" s="5" t="s">
        <v>1017</v>
      </c>
      <c r="D300" s="2" t="s">
        <v>1086</v>
      </c>
    </row>
    <row r="301" spans="1:4" ht="13.05" customHeight="1" x14ac:dyDescent="0.3">
      <c r="A301" s="2" t="s">
        <v>76</v>
      </c>
      <c r="B301" s="2" t="s">
        <v>1014</v>
      </c>
      <c r="C301" s="5" t="s">
        <v>1019</v>
      </c>
      <c r="D301" s="2" t="s">
        <v>1020</v>
      </c>
    </row>
    <row r="302" spans="1:4" ht="13.05" customHeight="1" x14ac:dyDescent="0.3">
      <c r="A302" s="2" t="s">
        <v>79</v>
      </c>
      <c r="B302" s="2" t="s">
        <v>1014</v>
      </c>
      <c r="C302" s="5" t="s">
        <v>1044</v>
      </c>
      <c r="D302" s="2" t="s">
        <v>1045</v>
      </c>
    </row>
    <row r="303" spans="1:4" ht="13.05" customHeight="1" x14ac:dyDescent="0.3">
      <c r="A303" s="2" t="s">
        <v>79</v>
      </c>
      <c r="B303" s="2" t="s">
        <v>1014</v>
      </c>
      <c r="C303" s="5" t="s">
        <v>1015</v>
      </c>
      <c r="D303" s="2" t="s">
        <v>1016</v>
      </c>
    </row>
    <row r="304" spans="1:4" ht="13.05" customHeight="1" x14ac:dyDescent="0.3">
      <c r="A304" s="2" t="s">
        <v>79</v>
      </c>
      <c r="B304" s="2" t="s">
        <v>1014</v>
      </c>
      <c r="C304" s="5" t="s">
        <v>1017</v>
      </c>
      <c r="D304" s="2" t="s">
        <v>1018</v>
      </c>
    </row>
    <row r="305" spans="1:4" ht="13.05" customHeight="1" x14ac:dyDescent="0.3">
      <c r="A305" s="2" t="s">
        <v>79</v>
      </c>
      <c r="B305" s="2" t="s">
        <v>1014</v>
      </c>
      <c r="C305" s="5" t="s">
        <v>1019</v>
      </c>
      <c r="D305" s="2" t="s">
        <v>1020</v>
      </c>
    </row>
    <row r="306" spans="1:4" ht="13.05" customHeight="1" x14ac:dyDescent="0.3">
      <c r="A306" s="2" t="s">
        <v>79</v>
      </c>
      <c r="B306" s="2" t="s">
        <v>1014</v>
      </c>
      <c r="C306" s="5" t="s">
        <v>1021</v>
      </c>
      <c r="D306" s="2" t="s">
        <v>1098</v>
      </c>
    </row>
    <row r="307" spans="1:4" ht="13.05" customHeight="1" x14ac:dyDescent="0.3">
      <c r="A307" s="2" t="s">
        <v>79</v>
      </c>
      <c r="B307" s="2" t="s">
        <v>1014</v>
      </c>
      <c r="C307" s="5" t="s">
        <v>1023</v>
      </c>
      <c r="D307" s="2" t="s">
        <v>1099</v>
      </c>
    </row>
    <row r="308" spans="1:4" ht="13.05" customHeight="1" x14ac:dyDescent="0.3">
      <c r="A308" s="2" t="s">
        <v>79</v>
      </c>
      <c r="B308" s="2" t="s">
        <v>1014</v>
      </c>
      <c r="C308" s="5" t="s">
        <v>1025</v>
      </c>
      <c r="D308" s="2" t="s">
        <v>1100</v>
      </c>
    </row>
    <row r="309" spans="1:4" ht="13.05" customHeight="1" x14ac:dyDescent="0.3">
      <c r="A309" s="2" t="s">
        <v>79</v>
      </c>
      <c r="B309" s="2" t="s">
        <v>1014</v>
      </c>
      <c r="C309" s="5" t="s">
        <v>1027</v>
      </c>
      <c r="D309" s="2" t="s">
        <v>1101</v>
      </c>
    </row>
    <row r="310" spans="1:4" ht="13.05" customHeight="1" x14ac:dyDescent="0.3">
      <c r="A310" s="2" t="s">
        <v>79</v>
      </c>
      <c r="B310" s="2" t="s">
        <v>1014</v>
      </c>
      <c r="C310" s="5" t="s">
        <v>1029</v>
      </c>
      <c r="D310" s="2" t="s">
        <v>1102</v>
      </c>
    </row>
    <row r="311" spans="1:4" ht="13.05" customHeight="1" x14ac:dyDescent="0.3">
      <c r="A311" s="2" t="s">
        <v>79</v>
      </c>
      <c r="B311" s="2" t="s">
        <v>1014</v>
      </c>
      <c r="C311" s="5" t="s">
        <v>1031</v>
      </c>
      <c r="D311" s="2" t="s">
        <v>1103</v>
      </c>
    </row>
    <row r="312" spans="1:4" ht="13.05" customHeight="1" x14ac:dyDescent="0.3">
      <c r="A312" s="2" t="s">
        <v>79</v>
      </c>
      <c r="B312" s="2" t="s">
        <v>1014</v>
      </c>
      <c r="C312" s="5" t="s">
        <v>1040</v>
      </c>
      <c r="D312" s="2" t="s">
        <v>1104</v>
      </c>
    </row>
    <row r="313" spans="1:4" ht="13.05" customHeight="1" x14ac:dyDescent="0.3">
      <c r="A313" s="2" t="s">
        <v>81</v>
      </c>
      <c r="B313" s="2" t="s">
        <v>1105</v>
      </c>
      <c r="C313" s="5" t="s">
        <v>1044</v>
      </c>
      <c r="D313" s="2" t="s">
        <v>1045</v>
      </c>
    </row>
    <row r="314" spans="1:4" ht="13.05" customHeight="1" x14ac:dyDescent="0.3">
      <c r="A314" s="2" t="s">
        <v>81</v>
      </c>
      <c r="B314" s="2" t="s">
        <v>1105</v>
      </c>
      <c r="C314" s="5" t="s">
        <v>1019</v>
      </c>
      <c r="D314" s="2" t="s">
        <v>1020</v>
      </c>
    </row>
    <row r="315" spans="1:4" ht="13.05" customHeight="1" x14ac:dyDescent="0.3">
      <c r="A315" s="2" t="s">
        <v>83</v>
      </c>
      <c r="B315" s="2" t="s">
        <v>1014</v>
      </c>
      <c r="C315" s="5" t="s">
        <v>1044</v>
      </c>
      <c r="D315" s="2" t="s">
        <v>1045</v>
      </c>
    </row>
    <row r="316" spans="1:4" ht="13.05" customHeight="1" x14ac:dyDescent="0.3">
      <c r="A316" s="2" t="s">
        <v>83</v>
      </c>
      <c r="B316" s="2" t="s">
        <v>1014</v>
      </c>
      <c r="C316" s="5" t="s">
        <v>1015</v>
      </c>
      <c r="D316" s="2" t="s">
        <v>1092</v>
      </c>
    </row>
    <row r="317" spans="1:4" ht="13.05" customHeight="1" x14ac:dyDescent="0.3">
      <c r="A317" s="2" t="s">
        <v>83</v>
      </c>
      <c r="B317" s="2" t="s">
        <v>1014</v>
      </c>
      <c r="C317" s="5" t="s">
        <v>1017</v>
      </c>
      <c r="D317" s="2" t="s">
        <v>1086</v>
      </c>
    </row>
    <row r="318" spans="1:4" ht="13.05" customHeight="1" x14ac:dyDescent="0.3">
      <c r="A318" s="2" t="s">
        <v>83</v>
      </c>
      <c r="B318" s="2" t="s">
        <v>1014</v>
      </c>
      <c r="C318" s="5" t="s">
        <v>1021</v>
      </c>
      <c r="D318" s="2" t="s">
        <v>1106</v>
      </c>
    </row>
    <row r="319" spans="1:4" ht="13.05" customHeight="1" x14ac:dyDescent="0.3">
      <c r="A319" s="2" t="s">
        <v>83</v>
      </c>
      <c r="B319" s="2" t="s">
        <v>1014</v>
      </c>
      <c r="C319" s="5" t="s">
        <v>1023</v>
      </c>
      <c r="D319" s="2" t="s">
        <v>1107</v>
      </c>
    </row>
    <row r="320" spans="1:4" ht="13.05" customHeight="1" x14ac:dyDescent="0.3">
      <c r="A320" s="2" t="s">
        <v>86</v>
      </c>
      <c r="B320" s="2" t="s">
        <v>1033</v>
      </c>
      <c r="C320" s="5" t="s">
        <v>1015</v>
      </c>
      <c r="D320" s="2" t="s">
        <v>1092</v>
      </c>
    </row>
    <row r="321" spans="1:4" ht="13.05" customHeight="1" x14ac:dyDescent="0.3">
      <c r="A321" s="2" t="s">
        <v>86</v>
      </c>
      <c r="B321" s="2" t="s">
        <v>1033</v>
      </c>
      <c r="C321" s="5" t="s">
        <v>1017</v>
      </c>
      <c r="D321" s="2" t="s">
        <v>1018</v>
      </c>
    </row>
    <row r="322" spans="1:4" ht="13.05" customHeight="1" x14ac:dyDescent="0.3">
      <c r="A322" s="2" t="s">
        <v>86</v>
      </c>
      <c r="B322" s="2" t="s">
        <v>1033</v>
      </c>
      <c r="C322" s="5" t="s">
        <v>1019</v>
      </c>
      <c r="D322" s="2" t="s">
        <v>1020</v>
      </c>
    </row>
    <row r="323" spans="1:4" ht="13.05" customHeight="1" x14ac:dyDescent="0.3">
      <c r="A323" s="2" t="s">
        <v>86</v>
      </c>
      <c r="B323" s="2" t="s">
        <v>1033</v>
      </c>
      <c r="C323" s="5" t="s">
        <v>1021</v>
      </c>
      <c r="D323" s="2" t="s">
        <v>1108</v>
      </c>
    </row>
    <row r="324" spans="1:4" ht="13.05" customHeight="1" x14ac:dyDescent="0.3">
      <c r="A324" s="2" t="s">
        <v>86</v>
      </c>
      <c r="B324" s="2" t="s">
        <v>1033</v>
      </c>
      <c r="C324" s="5" t="s">
        <v>1023</v>
      </c>
      <c r="D324" s="2" t="s">
        <v>1088</v>
      </c>
    </row>
    <row r="325" spans="1:4" ht="13.05" customHeight="1" x14ac:dyDescent="0.3">
      <c r="A325" s="2" t="s">
        <v>86</v>
      </c>
      <c r="B325" s="2" t="s">
        <v>1033</v>
      </c>
      <c r="C325" s="5" t="s">
        <v>1025</v>
      </c>
      <c r="D325" s="2" t="s">
        <v>1089</v>
      </c>
    </row>
    <row r="326" spans="1:4" ht="13.05" customHeight="1" x14ac:dyDescent="0.3">
      <c r="A326" s="2" t="s">
        <v>86</v>
      </c>
      <c r="B326" s="2" t="s">
        <v>1033</v>
      </c>
      <c r="C326" s="5" t="s">
        <v>1027</v>
      </c>
      <c r="D326" s="2" t="s">
        <v>1090</v>
      </c>
    </row>
    <row r="327" spans="1:4" ht="13.05" customHeight="1" x14ac:dyDescent="0.3">
      <c r="A327" s="2" t="s">
        <v>86</v>
      </c>
      <c r="B327" s="2" t="s">
        <v>1033</v>
      </c>
      <c r="C327" s="5" t="s">
        <v>1029</v>
      </c>
      <c r="D327" s="2" t="s">
        <v>1091</v>
      </c>
    </row>
    <row r="328" spans="1:4" ht="13.05" customHeight="1" x14ac:dyDescent="0.3">
      <c r="A328" s="2" t="s">
        <v>89</v>
      </c>
      <c r="B328" s="2" t="s">
        <v>1033</v>
      </c>
      <c r="C328" s="5" t="s">
        <v>1015</v>
      </c>
      <c r="D328" s="2" t="s">
        <v>1092</v>
      </c>
    </row>
    <row r="329" spans="1:4" ht="13.05" customHeight="1" x14ac:dyDescent="0.3">
      <c r="A329" s="2" t="s">
        <v>89</v>
      </c>
      <c r="B329" s="2" t="s">
        <v>1033</v>
      </c>
      <c r="C329" s="5" t="s">
        <v>1017</v>
      </c>
      <c r="D329" s="2" t="s">
        <v>1018</v>
      </c>
    </row>
    <row r="330" spans="1:4" ht="13.05" customHeight="1" x14ac:dyDescent="0.3">
      <c r="A330" s="2" t="s">
        <v>89</v>
      </c>
      <c r="B330" s="2" t="s">
        <v>1033</v>
      </c>
      <c r="C330" s="5" t="s">
        <v>1019</v>
      </c>
      <c r="D330" s="2" t="s">
        <v>1020</v>
      </c>
    </row>
    <row r="331" spans="1:4" ht="13.05" customHeight="1" x14ac:dyDescent="0.3">
      <c r="A331" s="2" t="s">
        <v>89</v>
      </c>
      <c r="B331" s="2" t="s">
        <v>1033</v>
      </c>
      <c r="C331" s="5" t="s">
        <v>1021</v>
      </c>
      <c r="D331" s="2" t="s">
        <v>1087</v>
      </c>
    </row>
    <row r="332" spans="1:4" ht="13.05" customHeight="1" x14ac:dyDescent="0.3">
      <c r="A332" s="2" t="s">
        <v>89</v>
      </c>
      <c r="B332" s="2" t="s">
        <v>1033</v>
      </c>
      <c r="C332" s="5" t="s">
        <v>1023</v>
      </c>
      <c r="D332" s="2" t="s">
        <v>1109</v>
      </c>
    </row>
    <row r="333" spans="1:4" ht="13.05" customHeight="1" x14ac:dyDescent="0.3">
      <c r="A333" s="2" t="s">
        <v>89</v>
      </c>
      <c r="B333" s="2" t="s">
        <v>1033</v>
      </c>
      <c r="C333" s="5" t="s">
        <v>1025</v>
      </c>
      <c r="D333" s="2" t="s">
        <v>1089</v>
      </c>
    </row>
    <row r="334" spans="1:4" ht="13.05" customHeight="1" x14ac:dyDescent="0.3">
      <c r="A334" s="2" t="s">
        <v>89</v>
      </c>
      <c r="B334" s="2" t="s">
        <v>1033</v>
      </c>
      <c r="C334" s="5" t="s">
        <v>1027</v>
      </c>
      <c r="D334" s="2" t="s">
        <v>1090</v>
      </c>
    </row>
    <row r="335" spans="1:4" ht="13.05" customHeight="1" x14ac:dyDescent="0.3">
      <c r="A335" s="2" t="s">
        <v>89</v>
      </c>
      <c r="B335" s="2" t="s">
        <v>1033</v>
      </c>
      <c r="C335" s="5" t="s">
        <v>1029</v>
      </c>
      <c r="D335" s="2" t="s">
        <v>1091</v>
      </c>
    </row>
    <row r="336" spans="1:4" ht="13.05" customHeight="1" x14ac:dyDescent="0.3">
      <c r="A336" s="2" t="s">
        <v>92</v>
      </c>
      <c r="B336" s="2" t="s">
        <v>1014</v>
      </c>
      <c r="C336" s="5" t="s">
        <v>1044</v>
      </c>
      <c r="D336" s="2" t="s">
        <v>1045</v>
      </c>
    </row>
    <row r="337" spans="1:4" ht="13.05" customHeight="1" x14ac:dyDescent="0.3">
      <c r="A337" s="2" t="s">
        <v>92</v>
      </c>
      <c r="B337" s="2" t="s">
        <v>1014</v>
      </c>
      <c r="C337" s="5" t="s">
        <v>1015</v>
      </c>
      <c r="D337" s="2" t="s">
        <v>1092</v>
      </c>
    </row>
    <row r="338" spans="1:4" ht="13.05" customHeight="1" x14ac:dyDescent="0.3">
      <c r="A338" s="2" t="s">
        <v>92</v>
      </c>
      <c r="B338" s="2" t="s">
        <v>1014</v>
      </c>
      <c r="C338" s="5" t="s">
        <v>1017</v>
      </c>
      <c r="D338" s="2" t="s">
        <v>1086</v>
      </c>
    </row>
    <row r="339" spans="1:4" ht="13.05" customHeight="1" x14ac:dyDescent="0.3">
      <c r="A339" s="2" t="s">
        <v>95</v>
      </c>
      <c r="B339" s="2" t="s">
        <v>1014</v>
      </c>
      <c r="C339" s="5" t="s">
        <v>1044</v>
      </c>
      <c r="D339" s="2" t="s">
        <v>1045</v>
      </c>
    </row>
    <row r="340" spans="1:4" ht="13.05" customHeight="1" x14ac:dyDescent="0.3">
      <c r="A340" s="2" t="s">
        <v>95</v>
      </c>
      <c r="B340" s="2" t="s">
        <v>1014</v>
      </c>
      <c r="C340" s="5" t="s">
        <v>1015</v>
      </c>
      <c r="D340" s="2" t="s">
        <v>1092</v>
      </c>
    </row>
    <row r="341" spans="1:4" ht="13.05" customHeight="1" x14ac:dyDescent="0.3">
      <c r="A341" s="2" t="s">
        <v>95</v>
      </c>
      <c r="B341" s="2" t="s">
        <v>1014</v>
      </c>
      <c r="C341" s="5" t="s">
        <v>1017</v>
      </c>
      <c r="D341" s="2" t="s">
        <v>1086</v>
      </c>
    </row>
    <row r="342" spans="1:4" ht="13.05" customHeight="1" x14ac:dyDescent="0.3">
      <c r="A342" s="2" t="s">
        <v>95</v>
      </c>
      <c r="B342" s="2" t="s">
        <v>1014</v>
      </c>
      <c r="C342" s="5" t="s">
        <v>1019</v>
      </c>
      <c r="D342" s="2" t="s">
        <v>1020</v>
      </c>
    </row>
    <row r="343" spans="1:4" ht="13.05" customHeight="1" x14ac:dyDescent="0.3">
      <c r="A343" s="2" t="s">
        <v>98</v>
      </c>
      <c r="B343" s="2" t="s">
        <v>1105</v>
      </c>
      <c r="C343" s="5" t="s">
        <v>1019</v>
      </c>
      <c r="D343" s="2" t="s">
        <v>1020</v>
      </c>
    </row>
    <row r="344" spans="1:4" ht="13.05" customHeight="1" x14ac:dyDescent="0.3">
      <c r="A344" s="2" t="s">
        <v>100</v>
      </c>
      <c r="B344" s="2" t="s">
        <v>1033</v>
      </c>
      <c r="C344" s="5" t="s">
        <v>1044</v>
      </c>
      <c r="D344" s="2" t="s">
        <v>1045</v>
      </c>
    </row>
    <row r="345" spans="1:4" ht="13.05" customHeight="1" x14ac:dyDescent="0.3">
      <c r="A345" s="2" t="s">
        <v>100</v>
      </c>
      <c r="B345" s="2" t="s">
        <v>1033</v>
      </c>
      <c r="C345" s="5" t="s">
        <v>1065</v>
      </c>
      <c r="D345" s="2" t="s">
        <v>1110</v>
      </c>
    </row>
    <row r="346" spans="1:4" ht="13.05" customHeight="1" x14ac:dyDescent="0.3">
      <c r="A346" s="2" t="s">
        <v>100</v>
      </c>
      <c r="B346" s="2" t="s">
        <v>1033</v>
      </c>
      <c r="C346" s="5" t="s">
        <v>1067</v>
      </c>
      <c r="D346" s="2" t="s">
        <v>1111</v>
      </c>
    </row>
    <row r="347" spans="1:4" ht="13.05" customHeight="1" x14ac:dyDescent="0.3">
      <c r="A347" s="2" t="s">
        <v>100</v>
      </c>
      <c r="B347" s="2" t="s">
        <v>1033</v>
      </c>
      <c r="C347" s="5" t="s">
        <v>1069</v>
      </c>
      <c r="D347" s="2" t="s">
        <v>1112</v>
      </c>
    </row>
    <row r="348" spans="1:4" ht="13.05" customHeight="1" x14ac:dyDescent="0.3">
      <c r="A348" s="2" t="s">
        <v>100</v>
      </c>
      <c r="B348" s="2" t="s">
        <v>1033</v>
      </c>
      <c r="C348" s="5" t="s">
        <v>1071</v>
      </c>
      <c r="D348" s="2" t="s">
        <v>1113</v>
      </c>
    </row>
    <row r="349" spans="1:4" ht="13.05" customHeight="1" x14ac:dyDescent="0.3">
      <c r="A349" s="2" t="s">
        <v>100</v>
      </c>
      <c r="B349" s="2" t="s">
        <v>1033</v>
      </c>
      <c r="C349" s="5" t="s">
        <v>1114</v>
      </c>
      <c r="D349" s="2" t="s">
        <v>1115</v>
      </c>
    </row>
    <row r="350" spans="1:4" ht="13.05" customHeight="1" x14ac:dyDescent="0.3">
      <c r="A350" s="2" t="s">
        <v>100</v>
      </c>
      <c r="B350" s="2" t="s">
        <v>1033</v>
      </c>
      <c r="C350" s="5" t="s">
        <v>1116</v>
      </c>
      <c r="D350" s="2" t="s">
        <v>1117</v>
      </c>
    </row>
    <row r="351" spans="1:4" ht="13.05" customHeight="1" x14ac:dyDescent="0.3">
      <c r="A351" s="2" t="s">
        <v>100</v>
      </c>
      <c r="B351" s="2" t="s">
        <v>1033</v>
      </c>
      <c r="C351" s="5" t="s">
        <v>1118</v>
      </c>
      <c r="D351" s="2" t="s">
        <v>1119</v>
      </c>
    </row>
    <row r="352" spans="1:4" ht="13.05" customHeight="1" x14ac:dyDescent="0.3">
      <c r="A352" s="2" t="s">
        <v>100</v>
      </c>
      <c r="B352" s="2" t="s">
        <v>1033</v>
      </c>
      <c r="C352" s="5" t="s">
        <v>1120</v>
      </c>
      <c r="D352" s="2" t="s">
        <v>1121</v>
      </c>
    </row>
    <row r="353" spans="1:4" ht="13.05" customHeight="1" x14ac:dyDescent="0.3">
      <c r="A353" s="2" t="s">
        <v>100</v>
      </c>
      <c r="B353" s="2" t="s">
        <v>1033</v>
      </c>
      <c r="C353" s="5" t="s">
        <v>1122</v>
      </c>
      <c r="D353" s="2" t="s">
        <v>1123</v>
      </c>
    </row>
    <row r="354" spans="1:4" ht="13.05" customHeight="1" x14ac:dyDescent="0.3">
      <c r="A354" s="2" t="s">
        <v>100</v>
      </c>
      <c r="B354" s="2" t="s">
        <v>1033</v>
      </c>
      <c r="C354" s="5" t="s">
        <v>1124</v>
      </c>
      <c r="D354" s="2" t="s">
        <v>1125</v>
      </c>
    </row>
    <row r="355" spans="1:4" ht="13.05" customHeight="1" x14ac:dyDescent="0.3">
      <c r="A355" s="2" t="s">
        <v>100</v>
      </c>
      <c r="B355" s="2" t="s">
        <v>1033</v>
      </c>
      <c r="C355" s="5" t="s">
        <v>1126</v>
      </c>
      <c r="D355" s="2" t="s">
        <v>1127</v>
      </c>
    </row>
    <row r="356" spans="1:4" ht="13.05" customHeight="1" x14ac:dyDescent="0.3">
      <c r="A356" s="2" t="s">
        <v>100</v>
      </c>
      <c r="B356" s="2" t="s">
        <v>1033</v>
      </c>
      <c r="C356" s="5" t="s">
        <v>1128</v>
      </c>
      <c r="D356" s="2" t="s">
        <v>1129</v>
      </c>
    </row>
    <row r="357" spans="1:4" ht="13.05" customHeight="1" x14ac:dyDescent="0.3">
      <c r="A357" s="2" t="s">
        <v>100</v>
      </c>
      <c r="B357" s="2" t="s">
        <v>1033</v>
      </c>
      <c r="C357" s="5" t="s">
        <v>1130</v>
      </c>
      <c r="D357" s="2" t="s">
        <v>1131</v>
      </c>
    </row>
    <row r="358" spans="1:4" ht="13.05" customHeight="1" x14ac:dyDescent="0.3">
      <c r="A358" s="2" t="s">
        <v>100</v>
      </c>
      <c r="B358" s="2" t="s">
        <v>1033</v>
      </c>
      <c r="C358" s="5" t="s">
        <v>1132</v>
      </c>
      <c r="D358" s="2" t="s">
        <v>1133</v>
      </c>
    </row>
    <row r="359" spans="1:4" ht="13.05" customHeight="1" x14ac:dyDescent="0.3">
      <c r="A359" s="2" t="s">
        <v>100</v>
      </c>
      <c r="B359" s="2" t="s">
        <v>1033</v>
      </c>
      <c r="C359" s="5" t="s">
        <v>1134</v>
      </c>
      <c r="D359" s="2" t="s">
        <v>1135</v>
      </c>
    </row>
    <row r="360" spans="1:4" ht="13.05" customHeight="1" x14ac:dyDescent="0.3">
      <c r="A360" s="2" t="s">
        <v>100</v>
      </c>
      <c r="B360" s="2" t="s">
        <v>1033</v>
      </c>
      <c r="C360" s="5" t="s">
        <v>1136</v>
      </c>
      <c r="D360" s="2" t="s">
        <v>1137</v>
      </c>
    </row>
    <row r="361" spans="1:4" ht="13.05" customHeight="1" x14ac:dyDescent="0.3">
      <c r="A361" s="2" t="s">
        <v>100</v>
      </c>
      <c r="B361" s="2" t="s">
        <v>1033</v>
      </c>
      <c r="C361" s="5" t="s">
        <v>1138</v>
      </c>
      <c r="D361" s="2" t="s">
        <v>1139</v>
      </c>
    </row>
    <row r="362" spans="1:4" ht="13.05" customHeight="1" x14ac:dyDescent="0.3">
      <c r="A362" s="2" t="s">
        <v>100</v>
      </c>
      <c r="B362" s="2" t="s">
        <v>1033</v>
      </c>
      <c r="C362" s="5" t="s">
        <v>1140</v>
      </c>
      <c r="D362" s="2" t="s">
        <v>1141</v>
      </c>
    </row>
    <row r="363" spans="1:4" ht="13.05" customHeight="1" x14ac:dyDescent="0.3">
      <c r="A363" s="2" t="s">
        <v>100</v>
      </c>
      <c r="B363" s="2" t="s">
        <v>1033</v>
      </c>
      <c r="C363" s="5" t="s">
        <v>1142</v>
      </c>
      <c r="D363" s="2" t="s">
        <v>1143</v>
      </c>
    </row>
    <row r="364" spans="1:4" ht="13.05" customHeight="1" x14ac:dyDescent="0.3">
      <c r="A364" s="2" t="s">
        <v>100</v>
      </c>
      <c r="B364" s="2" t="s">
        <v>1033</v>
      </c>
      <c r="C364" s="5" t="s">
        <v>1144</v>
      </c>
      <c r="D364" s="2" t="s">
        <v>1145</v>
      </c>
    </row>
    <row r="365" spans="1:4" ht="13.05" customHeight="1" x14ac:dyDescent="0.3">
      <c r="A365" s="2" t="s">
        <v>100</v>
      </c>
      <c r="B365" s="2" t="s">
        <v>1033</v>
      </c>
      <c r="C365" s="5" t="s">
        <v>1146</v>
      </c>
      <c r="D365" s="2" t="s">
        <v>1147</v>
      </c>
    </row>
    <row r="366" spans="1:4" ht="13.05" customHeight="1" x14ac:dyDescent="0.3">
      <c r="A366" s="2" t="s">
        <v>100</v>
      </c>
      <c r="B366" s="2" t="s">
        <v>1033</v>
      </c>
      <c r="C366" s="5" t="s">
        <v>1148</v>
      </c>
      <c r="D366" s="2" t="s">
        <v>1149</v>
      </c>
    </row>
    <row r="367" spans="1:4" ht="13.05" customHeight="1" x14ac:dyDescent="0.3">
      <c r="A367" s="2" t="s">
        <v>100</v>
      </c>
      <c r="B367" s="2" t="s">
        <v>1033</v>
      </c>
      <c r="C367" s="5" t="s">
        <v>1150</v>
      </c>
      <c r="D367" s="2" t="s">
        <v>1151</v>
      </c>
    </row>
    <row r="368" spans="1:4" ht="13.05" customHeight="1" x14ac:dyDescent="0.3">
      <c r="A368" s="2" t="s">
        <v>100</v>
      </c>
      <c r="B368" s="2" t="s">
        <v>1033</v>
      </c>
      <c r="C368" s="5" t="s">
        <v>1152</v>
      </c>
      <c r="D368" s="2" t="s">
        <v>1153</v>
      </c>
    </row>
    <row r="369" spans="1:4" ht="13.05" customHeight="1" x14ac:dyDescent="0.3">
      <c r="A369" s="2" t="s">
        <v>100</v>
      </c>
      <c r="B369" s="2" t="s">
        <v>1033</v>
      </c>
      <c r="C369" s="5" t="s">
        <v>1154</v>
      </c>
      <c r="D369" s="2" t="s">
        <v>1155</v>
      </c>
    </row>
    <row r="370" spans="1:4" ht="13.05" customHeight="1" x14ac:dyDescent="0.3">
      <c r="A370" s="2" t="s">
        <v>100</v>
      </c>
      <c r="B370" s="2" t="s">
        <v>1033</v>
      </c>
      <c r="C370" s="5" t="s">
        <v>1156</v>
      </c>
      <c r="D370" s="2" t="s">
        <v>1157</v>
      </c>
    </row>
    <row r="371" spans="1:4" ht="13.05" customHeight="1" x14ac:dyDescent="0.3">
      <c r="A371" s="2" t="s">
        <v>100</v>
      </c>
      <c r="B371" s="2" t="s">
        <v>1033</v>
      </c>
      <c r="C371" s="5" t="s">
        <v>1158</v>
      </c>
      <c r="D371" s="2" t="s">
        <v>1159</v>
      </c>
    </row>
    <row r="372" spans="1:4" ht="13.05" customHeight="1" x14ac:dyDescent="0.3">
      <c r="A372" s="2" t="s">
        <v>100</v>
      </c>
      <c r="B372" s="2" t="s">
        <v>1033</v>
      </c>
      <c r="C372" s="5" t="s">
        <v>1160</v>
      </c>
      <c r="D372" s="2" t="s">
        <v>1161</v>
      </c>
    </row>
    <row r="373" spans="1:4" ht="13.05" customHeight="1" x14ac:dyDescent="0.3">
      <c r="A373" s="2" t="s">
        <v>100</v>
      </c>
      <c r="B373" s="2" t="s">
        <v>1033</v>
      </c>
      <c r="C373" s="5" t="s">
        <v>1162</v>
      </c>
      <c r="D373" s="2" t="s">
        <v>1163</v>
      </c>
    </row>
    <row r="374" spans="1:4" ht="13.05" customHeight="1" x14ac:dyDescent="0.3">
      <c r="A374" s="2" t="s">
        <v>100</v>
      </c>
      <c r="B374" s="2" t="s">
        <v>1033</v>
      </c>
      <c r="C374" s="5" t="s">
        <v>1164</v>
      </c>
      <c r="D374" s="2" t="s">
        <v>1165</v>
      </c>
    </row>
    <row r="375" spans="1:4" ht="13.05" customHeight="1" x14ac:dyDescent="0.3">
      <c r="A375" s="2" t="s">
        <v>100</v>
      </c>
      <c r="B375" s="2" t="s">
        <v>1033</v>
      </c>
      <c r="C375" s="5" t="s">
        <v>1166</v>
      </c>
      <c r="D375" s="2" t="s">
        <v>1167</v>
      </c>
    </row>
    <row r="376" spans="1:4" ht="13.05" customHeight="1" x14ac:dyDescent="0.3">
      <c r="A376" s="2" t="s">
        <v>100</v>
      </c>
      <c r="B376" s="2" t="s">
        <v>1033</v>
      </c>
      <c r="C376" s="5" t="s">
        <v>1168</v>
      </c>
      <c r="D376" s="2" t="s">
        <v>1169</v>
      </c>
    </row>
    <row r="377" spans="1:4" ht="13.05" customHeight="1" x14ac:dyDescent="0.3">
      <c r="A377" s="2" t="s">
        <v>100</v>
      </c>
      <c r="B377" s="2" t="s">
        <v>1033</v>
      </c>
      <c r="C377" s="5" t="s">
        <v>1170</v>
      </c>
      <c r="D377" s="2" t="s">
        <v>1171</v>
      </c>
    </row>
    <row r="378" spans="1:4" ht="13.05" customHeight="1" x14ac:dyDescent="0.3">
      <c r="A378" s="2" t="s">
        <v>100</v>
      </c>
      <c r="B378" s="2" t="s">
        <v>1033</v>
      </c>
      <c r="C378" s="5" t="s">
        <v>1172</v>
      </c>
      <c r="D378" s="2" t="s">
        <v>1173</v>
      </c>
    </row>
    <row r="379" spans="1:4" ht="13.05" customHeight="1" x14ac:dyDescent="0.3">
      <c r="A379" s="2" t="s">
        <v>100</v>
      </c>
      <c r="B379" s="2" t="s">
        <v>1033</v>
      </c>
      <c r="C379" s="5" t="s">
        <v>1174</v>
      </c>
      <c r="D379" s="2" t="s">
        <v>1175</v>
      </c>
    </row>
    <row r="380" spans="1:4" ht="13.05" customHeight="1" x14ac:dyDescent="0.3">
      <c r="A380" s="2" t="s">
        <v>100</v>
      </c>
      <c r="B380" s="2" t="s">
        <v>1033</v>
      </c>
      <c r="C380" s="5" t="s">
        <v>1176</v>
      </c>
      <c r="D380" s="2" t="s">
        <v>1177</v>
      </c>
    </row>
    <row r="381" spans="1:4" ht="13.05" customHeight="1" x14ac:dyDescent="0.3">
      <c r="A381" s="2" t="s">
        <v>102</v>
      </c>
      <c r="B381" s="2" t="s">
        <v>1033</v>
      </c>
      <c r="C381" s="5" t="s">
        <v>1021</v>
      </c>
      <c r="D381" s="2" t="s">
        <v>1178</v>
      </c>
    </row>
    <row r="382" spans="1:4" ht="13.05" customHeight="1" x14ac:dyDescent="0.3">
      <c r="A382" s="2" t="s">
        <v>102</v>
      </c>
      <c r="B382" s="2" t="s">
        <v>1033</v>
      </c>
      <c r="C382" s="5" t="s">
        <v>1023</v>
      </c>
      <c r="D382" s="2" t="s">
        <v>1179</v>
      </c>
    </row>
    <row r="383" spans="1:4" ht="13.05" customHeight="1" x14ac:dyDescent="0.3">
      <c r="A383" s="2" t="s">
        <v>102</v>
      </c>
      <c r="B383" s="2" t="s">
        <v>1033</v>
      </c>
      <c r="C383" s="5" t="s">
        <v>1025</v>
      </c>
      <c r="D383" s="2" t="s">
        <v>1180</v>
      </c>
    </row>
    <row r="384" spans="1:4" ht="13.05" customHeight="1" x14ac:dyDescent="0.3">
      <c r="A384" s="2" t="s">
        <v>102</v>
      </c>
      <c r="B384" s="2" t="s">
        <v>1033</v>
      </c>
      <c r="C384" s="5" t="s">
        <v>1027</v>
      </c>
      <c r="D384" s="2" t="s">
        <v>1181</v>
      </c>
    </row>
    <row r="385" spans="1:4" ht="13.05" customHeight="1" x14ac:dyDescent="0.3">
      <c r="A385" s="2" t="s">
        <v>102</v>
      </c>
      <c r="B385" s="2" t="s">
        <v>1033</v>
      </c>
      <c r="C385" s="5" t="s">
        <v>1029</v>
      </c>
      <c r="D385" s="2" t="s">
        <v>1182</v>
      </c>
    </row>
    <row r="386" spans="1:4" ht="13.05" customHeight="1" x14ac:dyDescent="0.3">
      <c r="A386" s="2" t="s">
        <v>102</v>
      </c>
      <c r="B386" s="2" t="s">
        <v>1033</v>
      </c>
      <c r="C386" s="5" t="s">
        <v>1031</v>
      </c>
      <c r="D386" s="2" t="s">
        <v>1183</v>
      </c>
    </row>
    <row r="387" spans="1:4" ht="13.05" customHeight="1" x14ac:dyDescent="0.3">
      <c r="A387" s="2" t="s">
        <v>102</v>
      </c>
      <c r="B387" s="2" t="s">
        <v>1033</v>
      </c>
      <c r="C387" s="5" t="s">
        <v>1040</v>
      </c>
      <c r="D387" s="2" t="s">
        <v>1184</v>
      </c>
    </row>
    <row r="388" spans="1:4" ht="13.05" customHeight="1" x14ac:dyDescent="0.3">
      <c r="A388" s="2" t="s">
        <v>102</v>
      </c>
      <c r="B388" s="2" t="s">
        <v>1033</v>
      </c>
      <c r="C388" s="5" t="s">
        <v>1042</v>
      </c>
      <c r="D388" s="2" t="s">
        <v>1185</v>
      </c>
    </row>
    <row r="389" spans="1:4" ht="13.05" customHeight="1" x14ac:dyDescent="0.3">
      <c r="A389" s="2" t="s">
        <v>102</v>
      </c>
      <c r="B389" s="2" t="s">
        <v>1033</v>
      </c>
      <c r="C389" s="5" t="s">
        <v>1061</v>
      </c>
      <c r="D389" s="2" t="s">
        <v>1186</v>
      </c>
    </row>
    <row r="390" spans="1:4" ht="13.05" customHeight="1" x14ac:dyDescent="0.3">
      <c r="A390" s="2" t="s">
        <v>104</v>
      </c>
      <c r="B390" s="2" t="s">
        <v>1033</v>
      </c>
      <c r="C390" s="5" t="s">
        <v>1021</v>
      </c>
      <c r="D390" s="2" t="s">
        <v>1187</v>
      </c>
    </row>
    <row r="391" spans="1:4" ht="13.05" customHeight="1" x14ac:dyDescent="0.3">
      <c r="A391" s="2" t="s">
        <v>104</v>
      </c>
      <c r="B391" s="2" t="s">
        <v>1033</v>
      </c>
      <c r="C391" s="5" t="s">
        <v>1023</v>
      </c>
      <c r="D391" s="2" t="s">
        <v>1188</v>
      </c>
    </row>
    <row r="392" spans="1:4" ht="13.05" customHeight="1" x14ac:dyDescent="0.3">
      <c r="A392" s="2" t="s">
        <v>104</v>
      </c>
      <c r="B392" s="2" t="s">
        <v>1033</v>
      </c>
      <c r="C392" s="5" t="s">
        <v>1025</v>
      </c>
      <c r="D392" s="2" t="s">
        <v>1189</v>
      </c>
    </row>
    <row r="393" spans="1:4" ht="13.05" customHeight="1" x14ac:dyDescent="0.3">
      <c r="A393" s="2" t="s">
        <v>104</v>
      </c>
      <c r="B393" s="2" t="s">
        <v>1033</v>
      </c>
      <c r="C393" s="5" t="s">
        <v>1027</v>
      </c>
      <c r="D393" s="2" t="s">
        <v>1190</v>
      </c>
    </row>
    <row r="394" spans="1:4" ht="13.05" customHeight="1" x14ac:dyDescent="0.3">
      <c r="A394" s="2" t="s">
        <v>106</v>
      </c>
      <c r="B394" s="2" t="s">
        <v>1105</v>
      </c>
      <c r="C394" s="5" t="s">
        <v>1044</v>
      </c>
      <c r="D394" s="2" t="s">
        <v>1045</v>
      </c>
    </row>
    <row r="395" spans="1:4" ht="13.05" customHeight="1" x14ac:dyDescent="0.3">
      <c r="A395" s="2" t="s">
        <v>112</v>
      </c>
      <c r="B395" s="2" t="s">
        <v>1105</v>
      </c>
      <c r="C395" s="5" t="s">
        <v>1044</v>
      </c>
      <c r="D395" s="2" t="s">
        <v>1045</v>
      </c>
    </row>
    <row r="396" spans="1:4" ht="13.05" customHeight="1" x14ac:dyDescent="0.3">
      <c r="A396" s="2" t="s">
        <v>112</v>
      </c>
      <c r="B396" s="2" t="s">
        <v>1105</v>
      </c>
      <c r="C396" s="5" t="s">
        <v>1019</v>
      </c>
      <c r="D396" s="2" t="s">
        <v>1020</v>
      </c>
    </row>
    <row r="397" spans="1:4" ht="13.05" customHeight="1" x14ac:dyDescent="0.3">
      <c r="A397" s="2" t="s">
        <v>114</v>
      </c>
      <c r="B397" s="2" t="s">
        <v>1014</v>
      </c>
      <c r="C397" s="5" t="s">
        <v>1044</v>
      </c>
      <c r="D397" s="2" t="s">
        <v>1045</v>
      </c>
    </row>
    <row r="398" spans="1:4" ht="13.05" customHeight="1" x14ac:dyDescent="0.3">
      <c r="A398" s="2" t="s">
        <v>114</v>
      </c>
      <c r="B398" s="2" t="s">
        <v>1014</v>
      </c>
      <c r="C398" s="5" t="s">
        <v>1015</v>
      </c>
      <c r="D398" s="2" t="s">
        <v>1016</v>
      </c>
    </row>
    <row r="399" spans="1:4" ht="13.05" customHeight="1" x14ac:dyDescent="0.3">
      <c r="A399" s="2" t="s">
        <v>114</v>
      </c>
      <c r="B399" s="2" t="s">
        <v>1014</v>
      </c>
      <c r="C399" s="5" t="s">
        <v>1017</v>
      </c>
      <c r="D399" s="2" t="s">
        <v>1018</v>
      </c>
    </row>
    <row r="400" spans="1:4" ht="13.05" customHeight="1" x14ac:dyDescent="0.3">
      <c r="A400" s="2" t="s">
        <v>114</v>
      </c>
      <c r="B400" s="2" t="s">
        <v>1014</v>
      </c>
      <c r="C400" s="5" t="s">
        <v>1019</v>
      </c>
      <c r="D400" s="2" t="s">
        <v>1020</v>
      </c>
    </row>
    <row r="401" spans="1:4" ht="13.05" customHeight="1" x14ac:dyDescent="0.3">
      <c r="A401" s="2" t="s">
        <v>114</v>
      </c>
      <c r="B401" s="2" t="s">
        <v>1014</v>
      </c>
      <c r="C401" s="5" t="s">
        <v>1021</v>
      </c>
      <c r="D401" s="2" t="s">
        <v>1191</v>
      </c>
    </row>
    <row r="402" spans="1:4" ht="13.05" customHeight="1" x14ac:dyDescent="0.3">
      <c r="A402" s="2" t="s">
        <v>114</v>
      </c>
      <c r="B402" s="2" t="s">
        <v>1014</v>
      </c>
      <c r="C402" s="5" t="s">
        <v>1023</v>
      </c>
      <c r="D402" s="2" t="s">
        <v>1192</v>
      </c>
    </row>
    <row r="403" spans="1:4" ht="13.05" customHeight="1" x14ac:dyDescent="0.3">
      <c r="A403" s="2" t="s">
        <v>114</v>
      </c>
      <c r="B403" s="2" t="s">
        <v>1014</v>
      </c>
      <c r="C403" s="5" t="s">
        <v>1025</v>
      </c>
      <c r="D403" s="2" t="s">
        <v>1193</v>
      </c>
    </row>
    <row r="404" spans="1:4" ht="13.05" customHeight="1" x14ac:dyDescent="0.3">
      <c r="A404" s="2" t="s">
        <v>114</v>
      </c>
      <c r="B404" s="2" t="s">
        <v>1014</v>
      </c>
      <c r="C404" s="5" t="s">
        <v>1027</v>
      </c>
      <c r="D404" s="2" t="s">
        <v>1194</v>
      </c>
    </row>
    <row r="405" spans="1:4" ht="13.05" customHeight="1" x14ac:dyDescent="0.3">
      <c r="A405" s="2" t="s">
        <v>114</v>
      </c>
      <c r="B405" s="2" t="s">
        <v>1014</v>
      </c>
      <c r="C405" s="5" t="s">
        <v>1029</v>
      </c>
      <c r="D405" s="2" t="s">
        <v>1195</v>
      </c>
    </row>
    <row r="406" spans="1:4" ht="13.05" customHeight="1" x14ac:dyDescent="0.3">
      <c r="A406" s="2" t="s">
        <v>114</v>
      </c>
      <c r="B406" s="2" t="s">
        <v>1014</v>
      </c>
      <c r="C406" s="5" t="s">
        <v>1031</v>
      </c>
      <c r="D406" s="2" t="s">
        <v>1196</v>
      </c>
    </row>
    <row r="407" spans="1:4" ht="13.05" customHeight="1" x14ac:dyDescent="0.3">
      <c r="A407" s="2" t="s">
        <v>114</v>
      </c>
      <c r="B407" s="2" t="s">
        <v>1014</v>
      </c>
      <c r="C407" s="5" t="s">
        <v>1040</v>
      </c>
      <c r="D407" s="2" t="s">
        <v>1197</v>
      </c>
    </row>
    <row r="408" spans="1:4" ht="13.05" customHeight="1" x14ac:dyDescent="0.3">
      <c r="A408" s="2" t="s">
        <v>114</v>
      </c>
      <c r="B408" s="2" t="s">
        <v>1014</v>
      </c>
      <c r="C408" s="5" t="s">
        <v>1061</v>
      </c>
      <c r="D408" s="2" t="s">
        <v>1104</v>
      </c>
    </row>
    <row r="409" spans="1:4" ht="13.05" customHeight="1" x14ac:dyDescent="0.3">
      <c r="A409" s="2" t="s">
        <v>117</v>
      </c>
      <c r="B409" s="2" t="s">
        <v>1014</v>
      </c>
      <c r="C409" s="5" t="s">
        <v>1044</v>
      </c>
      <c r="D409" s="2" t="s">
        <v>1045</v>
      </c>
    </row>
    <row r="410" spans="1:4" ht="13.05" customHeight="1" x14ac:dyDescent="0.3">
      <c r="A410" s="2" t="s">
        <v>117</v>
      </c>
      <c r="B410" s="2" t="s">
        <v>1014</v>
      </c>
      <c r="C410" s="5" t="s">
        <v>1015</v>
      </c>
      <c r="D410" s="2" t="s">
        <v>1016</v>
      </c>
    </row>
    <row r="411" spans="1:4" ht="13.05" customHeight="1" x14ac:dyDescent="0.3">
      <c r="A411" s="2" t="s">
        <v>117</v>
      </c>
      <c r="B411" s="2" t="s">
        <v>1014</v>
      </c>
      <c r="C411" s="5" t="s">
        <v>1017</v>
      </c>
      <c r="D411" s="2" t="s">
        <v>1018</v>
      </c>
    </row>
    <row r="412" spans="1:4" ht="13.05" customHeight="1" x14ac:dyDescent="0.3">
      <c r="A412" s="2" t="s">
        <v>117</v>
      </c>
      <c r="B412" s="2" t="s">
        <v>1014</v>
      </c>
      <c r="C412" s="5" t="s">
        <v>1019</v>
      </c>
      <c r="D412" s="2" t="s">
        <v>1020</v>
      </c>
    </row>
    <row r="413" spans="1:4" ht="13.05" customHeight="1" x14ac:dyDescent="0.3">
      <c r="A413" s="2" t="s">
        <v>117</v>
      </c>
      <c r="B413" s="2" t="s">
        <v>1014</v>
      </c>
      <c r="C413" s="5" t="s">
        <v>1021</v>
      </c>
      <c r="D413" s="2" t="s">
        <v>1191</v>
      </c>
    </row>
    <row r="414" spans="1:4" ht="13.05" customHeight="1" x14ac:dyDescent="0.3">
      <c r="A414" s="2" t="s">
        <v>117</v>
      </c>
      <c r="B414" s="2" t="s">
        <v>1014</v>
      </c>
      <c r="C414" s="5" t="s">
        <v>1023</v>
      </c>
      <c r="D414" s="2" t="s">
        <v>1192</v>
      </c>
    </row>
    <row r="415" spans="1:4" ht="13.05" customHeight="1" x14ac:dyDescent="0.3">
      <c r="A415" s="2" t="s">
        <v>117</v>
      </c>
      <c r="B415" s="2" t="s">
        <v>1014</v>
      </c>
      <c r="C415" s="5" t="s">
        <v>1025</v>
      </c>
      <c r="D415" s="2" t="s">
        <v>1193</v>
      </c>
    </row>
    <row r="416" spans="1:4" ht="13.05" customHeight="1" x14ac:dyDescent="0.3">
      <c r="A416" s="2" t="s">
        <v>117</v>
      </c>
      <c r="B416" s="2" t="s">
        <v>1014</v>
      </c>
      <c r="C416" s="5" t="s">
        <v>1027</v>
      </c>
      <c r="D416" s="2" t="s">
        <v>1194</v>
      </c>
    </row>
    <row r="417" spans="1:4" ht="13.05" customHeight="1" x14ac:dyDescent="0.3">
      <c r="A417" s="2" t="s">
        <v>117</v>
      </c>
      <c r="B417" s="2" t="s">
        <v>1014</v>
      </c>
      <c r="C417" s="5" t="s">
        <v>1029</v>
      </c>
      <c r="D417" s="2" t="s">
        <v>1195</v>
      </c>
    </row>
    <row r="418" spans="1:4" ht="13.05" customHeight="1" x14ac:dyDescent="0.3">
      <c r="A418" s="2" t="s">
        <v>117</v>
      </c>
      <c r="B418" s="2" t="s">
        <v>1014</v>
      </c>
      <c r="C418" s="5" t="s">
        <v>1031</v>
      </c>
      <c r="D418" s="2" t="s">
        <v>1196</v>
      </c>
    </row>
    <row r="419" spans="1:4" ht="13.05" customHeight="1" x14ac:dyDescent="0.3">
      <c r="A419" s="2" t="s">
        <v>117</v>
      </c>
      <c r="B419" s="2" t="s">
        <v>1014</v>
      </c>
      <c r="C419" s="5" t="s">
        <v>1040</v>
      </c>
      <c r="D419" s="2" t="s">
        <v>1197</v>
      </c>
    </row>
    <row r="420" spans="1:4" ht="13.05" customHeight="1" x14ac:dyDescent="0.3">
      <c r="A420" s="2" t="s">
        <v>117</v>
      </c>
      <c r="B420" s="2" t="s">
        <v>1014</v>
      </c>
      <c r="C420" s="5" t="s">
        <v>1061</v>
      </c>
      <c r="D420" s="2" t="s">
        <v>1104</v>
      </c>
    </row>
    <row r="421" spans="1:4" ht="13.05" customHeight="1" x14ac:dyDescent="0.3">
      <c r="A421" s="2" t="s">
        <v>119</v>
      </c>
      <c r="B421" s="2" t="s">
        <v>1014</v>
      </c>
      <c r="C421" s="5" t="s">
        <v>1044</v>
      </c>
      <c r="D421" s="2" t="s">
        <v>1045</v>
      </c>
    </row>
    <row r="422" spans="1:4" ht="13.05" customHeight="1" x14ac:dyDescent="0.3">
      <c r="A422" s="2" t="s">
        <v>119</v>
      </c>
      <c r="B422" s="2" t="s">
        <v>1014</v>
      </c>
      <c r="C422" s="5" t="s">
        <v>1015</v>
      </c>
      <c r="D422" s="2" t="s">
        <v>1016</v>
      </c>
    </row>
    <row r="423" spans="1:4" ht="13.05" customHeight="1" x14ac:dyDescent="0.3">
      <c r="A423" s="2" t="s">
        <v>119</v>
      </c>
      <c r="B423" s="2" t="s">
        <v>1014</v>
      </c>
      <c r="C423" s="5" t="s">
        <v>1017</v>
      </c>
      <c r="D423" s="2" t="s">
        <v>1018</v>
      </c>
    </row>
    <row r="424" spans="1:4" ht="13.05" customHeight="1" x14ac:dyDescent="0.3">
      <c r="A424" s="2" t="s">
        <v>119</v>
      </c>
      <c r="B424" s="2" t="s">
        <v>1014</v>
      </c>
      <c r="C424" s="5" t="s">
        <v>1019</v>
      </c>
      <c r="D424" s="2" t="s">
        <v>1020</v>
      </c>
    </row>
    <row r="425" spans="1:4" ht="13.05" customHeight="1" x14ac:dyDescent="0.3">
      <c r="A425" s="2" t="s">
        <v>119</v>
      </c>
      <c r="B425" s="2" t="s">
        <v>1014</v>
      </c>
      <c r="C425" s="5" t="s">
        <v>1021</v>
      </c>
      <c r="D425" s="2" t="s">
        <v>1191</v>
      </c>
    </row>
    <row r="426" spans="1:4" ht="13.05" customHeight="1" x14ac:dyDescent="0.3">
      <c r="A426" s="2" t="s">
        <v>119</v>
      </c>
      <c r="B426" s="2" t="s">
        <v>1014</v>
      </c>
      <c r="C426" s="5" t="s">
        <v>1023</v>
      </c>
      <c r="D426" s="2" t="s">
        <v>1192</v>
      </c>
    </row>
    <row r="427" spans="1:4" ht="13.05" customHeight="1" x14ac:dyDescent="0.3">
      <c r="A427" s="2" t="s">
        <v>119</v>
      </c>
      <c r="B427" s="2" t="s">
        <v>1014</v>
      </c>
      <c r="C427" s="5" t="s">
        <v>1025</v>
      </c>
      <c r="D427" s="2" t="s">
        <v>1193</v>
      </c>
    </row>
    <row r="428" spans="1:4" ht="13.05" customHeight="1" x14ac:dyDescent="0.3">
      <c r="A428" s="2" t="s">
        <v>119</v>
      </c>
      <c r="B428" s="2" t="s">
        <v>1014</v>
      </c>
      <c r="C428" s="5" t="s">
        <v>1027</v>
      </c>
      <c r="D428" s="2" t="s">
        <v>1194</v>
      </c>
    </row>
    <row r="429" spans="1:4" ht="13.05" customHeight="1" x14ac:dyDescent="0.3">
      <c r="A429" s="2" t="s">
        <v>119</v>
      </c>
      <c r="B429" s="2" t="s">
        <v>1014</v>
      </c>
      <c r="C429" s="5" t="s">
        <v>1029</v>
      </c>
      <c r="D429" s="2" t="s">
        <v>1195</v>
      </c>
    </row>
    <row r="430" spans="1:4" ht="13.05" customHeight="1" x14ac:dyDescent="0.3">
      <c r="A430" s="2" t="s">
        <v>119</v>
      </c>
      <c r="B430" s="2" t="s">
        <v>1014</v>
      </c>
      <c r="C430" s="5" t="s">
        <v>1031</v>
      </c>
      <c r="D430" s="2" t="s">
        <v>1196</v>
      </c>
    </row>
    <row r="431" spans="1:4" ht="13.05" customHeight="1" x14ac:dyDescent="0.3">
      <c r="A431" s="2" t="s">
        <v>119</v>
      </c>
      <c r="B431" s="2" t="s">
        <v>1014</v>
      </c>
      <c r="C431" s="5" t="s">
        <v>1040</v>
      </c>
      <c r="D431" s="2" t="s">
        <v>1197</v>
      </c>
    </row>
    <row r="432" spans="1:4" ht="13.05" customHeight="1" x14ac:dyDescent="0.3">
      <c r="A432" s="2" t="s">
        <v>119</v>
      </c>
      <c r="B432" s="2" t="s">
        <v>1014</v>
      </c>
      <c r="C432" s="5" t="s">
        <v>1061</v>
      </c>
      <c r="D432" s="2" t="s">
        <v>1104</v>
      </c>
    </row>
    <row r="433" spans="1:4" ht="13.05" customHeight="1" x14ac:dyDescent="0.3">
      <c r="A433" s="2" t="s">
        <v>121</v>
      </c>
      <c r="B433" s="2" t="s">
        <v>1014</v>
      </c>
      <c r="C433" s="5" t="s">
        <v>1044</v>
      </c>
      <c r="D433" s="2" t="s">
        <v>1045</v>
      </c>
    </row>
    <row r="434" spans="1:4" ht="13.05" customHeight="1" x14ac:dyDescent="0.3">
      <c r="A434" s="2" t="s">
        <v>121</v>
      </c>
      <c r="B434" s="2" t="s">
        <v>1014</v>
      </c>
      <c r="C434" s="5" t="s">
        <v>1015</v>
      </c>
      <c r="D434" s="2" t="s">
        <v>1016</v>
      </c>
    </row>
    <row r="435" spans="1:4" ht="13.05" customHeight="1" x14ac:dyDescent="0.3">
      <c r="A435" s="2" t="s">
        <v>121</v>
      </c>
      <c r="B435" s="2" t="s">
        <v>1014</v>
      </c>
      <c r="C435" s="5" t="s">
        <v>1017</v>
      </c>
      <c r="D435" s="2" t="s">
        <v>1018</v>
      </c>
    </row>
    <row r="436" spans="1:4" ht="13.05" customHeight="1" x14ac:dyDescent="0.3">
      <c r="A436" s="2" t="s">
        <v>121</v>
      </c>
      <c r="B436" s="2" t="s">
        <v>1014</v>
      </c>
      <c r="C436" s="5" t="s">
        <v>1019</v>
      </c>
      <c r="D436" s="2" t="s">
        <v>1020</v>
      </c>
    </row>
    <row r="437" spans="1:4" ht="13.05" customHeight="1" x14ac:dyDescent="0.3">
      <c r="A437" s="2" t="s">
        <v>121</v>
      </c>
      <c r="B437" s="2" t="s">
        <v>1014</v>
      </c>
      <c r="C437" s="5" t="s">
        <v>1021</v>
      </c>
      <c r="D437" s="2" t="s">
        <v>1191</v>
      </c>
    </row>
    <row r="438" spans="1:4" ht="13.05" customHeight="1" x14ac:dyDescent="0.3">
      <c r="A438" s="2" t="s">
        <v>121</v>
      </c>
      <c r="B438" s="2" t="s">
        <v>1014</v>
      </c>
      <c r="C438" s="5" t="s">
        <v>1023</v>
      </c>
      <c r="D438" s="2" t="s">
        <v>1192</v>
      </c>
    </row>
    <row r="439" spans="1:4" ht="13.05" customHeight="1" x14ac:dyDescent="0.3">
      <c r="A439" s="2" t="s">
        <v>121</v>
      </c>
      <c r="B439" s="2" t="s">
        <v>1014</v>
      </c>
      <c r="C439" s="5" t="s">
        <v>1025</v>
      </c>
      <c r="D439" s="2" t="s">
        <v>1193</v>
      </c>
    </row>
    <row r="440" spans="1:4" ht="13.05" customHeight="1" x14ac:dyDescent="0.3">
      <c r="A440" s="2" t="s">
        <v>121</v>
      </c>
      <c r="B440" s="2" t="s">
        <v>1014</v>
      </c>
      <c r="C440" s="5" t="s">
        <v>1027</v>
      </c>
      <c r="D440" s="2" t="s">
        <v>1194</v>
      </c>
    </row>
    <row r="441" spans="1:4" ht="13.05" customHeight="1" x14ac:dyDescent="0.3">
      <c r="A441" s="2" t="s">
        <v>121</v>
      </c>
      <c r="B441" s="2" t="s">
        <v>1014</v>
      </c>
      <c r="C441" s="5" t="s">
        <v>1029</v>
      </c>
      <c r="D441" s="2" t="s">
        <v>1195</v>
      </c>
    </row>
    <row r="442" spans="1:4" ht="13.05" customHeight="1" x14ac:dyDescent="0.3">
      <c r="A442" s="2" t="s">
        <v>121</v>
      </c>
      <c r="B442" s="2" t="s">
        <v>1014</v>
      </c>
      <c r="C442" s="5" t="s">
        <v>1031</v>
      </c>
      <c r="D442" s="2" t="s">
        <v>1196</v>
      </c>
    </row>
    <row r="443" spans="1:4" ht="13.05" customHeight="1" x14ac:dyDescent="0.3">
      <c r="A443" s="2" t="s">
        <v>121</v>
      </c>
      <c r="B443" s="2" t="s">
        <v>1014</v>
      </c>
      <c r="C443" s="5" t="s">
        <v>1040</v>
      </c>
      <c r="D443" s="2" t="s">
        <v>1197</v>
      </c>
    </row>
    <row r="444" spans="1:4" ht="13.05" customHeight="1" x14ac:dyDescent="0.3">
      <c r="A444" s="2" t="s">
        <v>121</v>
      </c>
      <c r="B444" s="2" t="s">
        <v>1014</v>
      </c>
      <c r="C444" s="5" t="s">
        <v>1061</v>
      </c>
      <c r="D444" s="2" t="s">
        <v>1104</v>
      </c>
    </row>
    <row r="445" spans="1:4" ht="13.05" customHeight="1" x14ac:dyDescent="0.3">
      <c r="A445" s="2" t="s">
        <v>123</v>
      </c>
      <c r="B445" s="2" t="s">
        <v>1014</v>
      </c>
      <c r="C445" s="5" t="s">
        <v>1044</v>
      </c>
      <c r="D445" s="2" t="s">
        <v>1045</v>
      </c>
    </row>
    <row r="446" spans="1:4" ht="13.05" customHeight="1" x14ac:dyDescent="0.3">
      <c r="A446" s="2" t="s">
        <v>123</v>
      </c>
      <c r="B446" s="2" t="s">
        <v>1014</v>
      </c>
      <c r="C446" s="5" t="s">
        <v>1015</v>
      </c>
      <c r="D446" s="2" t="s">
        <v>1016</v>
      </c>
    </row>
    <row r="447" spans="1:4" ht="13.05" customHeight="1" x14ac:dyDescent="0.3">
      <c r="A447" s="2" t="s">
        <v>123</v>
      </c>
      <c r="B447" s="2" t="s">
        <v>1014</v>
      </c>
      <c r="C447" s="5" t="s">
        <v>1017</v>
      </c>
      <c r="D447" s="2" t="s">
        <v>1018</v>
      </c>
    </row>
    <row r="448" spans="1:4" ht="13.05" customHeight="1" x14ac:dyDescent="0.3">
      <c r="A448" s="2" t="s">
        <v>123</v>
      </c>
      <c r="B448" s="2" t="s">
        <v>1014</v>
      </c>
      <c r="C448" s="5" t="s">
        <v>1019</v>
      </c>
      <c r="D448" s="2" t="s">
        <v>1020</v>
      </c>
    </row>
    <row r="449" spans="1:4" ht="13.05" customHeight="1" x14ac:dyDescent="0.3">
      <c r="A449" s="2" t="s">
        <v>123</v>
      </c>
      <c r="B449" s="2" t="s">
        <v>1014</v>
      </c>
      <c r="C449" s="5" t="s">
        <v>1021</v>
      </c>
      <c r="D449" s="2" t="s">
        <v>1191</v>
      </c>
    </row>
    <row r="450" spans="1:4" ht="13.05" customHeight="1" x14ac:dyDescent="0.3">
      <c r="A450" s="2" t="s">
        <v>123</v>
      </c>
      <c r="B450" s="2" t="s">
        <v>1014</v>
      </c>
      <c r="C450" s="5" t="s">
        <v>1023</v>
      </c>
      <c r="D450" s="2" t="s">
        <v>1192</v>
      </c>
    </row>
    <row r="451" spans="1:4" ht="13.05" customHeight="1" x14ac:dyDescent="0.3">
      <c r="A451" s="2" t="s">
        <v>123</v>
      </c>
      <c r="B451" s="2" t="s">
        <v>1014</v>
      </c>
      <c r="C451" s="5" t="s">
        <v>1025</v>
      </c>
      <c r="D451" s="2" t="s">
        <v>1193</v>
      </c>
    </row>
    <row r="452" spans="1:4" ht="13.05" customHeight="1" x14ac:dyDescent="0.3">
      <c r="A452" s="2" t="s">
        <v>123</v>
      </c>
      <c r="B452" s="2" t="s">
        <v>1014</v>
      </c>
      <c r="C452" s="5" t="s">
        <v>1027</v>
      </c>
      <c r="D452" s="2" t="s">
        <v>1194</v>
      </c>
    </row>
    <row r="453" spans="1:4" ht="13.05" customHeight="1" x14ac:dyDescent="0.3">
      <c r="A453" s="2" t="s">
        <v>123</v>
      </c>
      <c r="B453" s="2" t="s">
        <v>1014</v>
      </c>
      <c r="C453" s="5" t="s">
        <v>1029</v>
      </c>
      <c r="D453" s="2" t="s">
        <v>1195</v>
      </c>
    </row>
    <row r="454" spans="1:4" ht="13.05" customHeight="1" x14ac:dyDescent="0.3">
      <c r="A454" s="2" t="s">
        <v>123</v>
      </c>
      <c r="B454" s="2" t="s">
        <v>1014</v>
      </c>
      <c r="C454" s="5" t="s">
        <v>1031</v>
      </c>
      <c r="D454" s="2" t="s">
        <v>1196</v>
      </c>
    </row>
    <row r="455" spans="1:4" ht="13.05" customHeight="1" x14ac:dyDescent="0.3">
      <c r="A455" s="2" t="s">
        <v>123</v>
      </c>
      <c r="B455" s="2" t="s">
        <v>1014</v>
      </c>
      <c r="C455" s="5" t="s">
        <v>1040</v>
      </c>
      <c r="D455" s="2" t="s">
        <v>1197</v>
      </c>
    </row>
    <row r="456" spans="1:4" ht="13.05" customHeight="1" x14ac:dyDescent="0.3">
      <c r="A456" s="2" t="s">
        <v>123</v>
      </c>
      <c r="B456" s="2" t="s">
        <v>1014</v>
      </c>
      <c r="C456" s="5" t="s">
        <v>1061</v>
      </c>
      <c r="D456" s="2" t="s">
        <v>1104</v>
      </c>
    </row>
    <row r="457" spans="1:4" ht="13.05" customHeight="1" x14ac:dyDescent="0.3">
      <c r="A457" s="2" t="s">
        <v>125</v>
      </c>
      <c r="B457" s="2" t="s">
        <v>1014</v>
      </c>
      <c r="C457" s="5" t="s">
        <v>1044</v>
      </c>
      <c r="D457" s="2" t="s">
        <v>1045</v>
      </c>
    </row>
    <row r="458" spans="1:4" ht="13.05" customHeight="1" x14ac:dyDescent="0.3">
      <c r="A458" s="2" t="s">
        <v>125</v>
      </c>
      <c r="B458" s="2" t="s">
        <v>1014</v>
      </c>
      <c r="C458" s="5" t="s">
        <v>1015</v>
      </c>
      <c r="D458" s="2" t="s">
        <v>1016</v>
      </c>
    </row>
    <row r="459" spans="1:4" ht="13.05" customHeight="1" x14ac:dyDescent="0.3">
      <c r="A459" s="2" t="s">
        <v>125</v>
      </c>
      <c r="B459" s="2" t="s">
        <v>1014</v>
      </c>
      <c r="C459" s="5" t="s">
        <v>1017</v>
      </c>
      <c r="D459" s="2" t="s">
        <v>1018</v>
      </c>
    </row>
    <row r="460" spans="1:4" ht="13.05" customHeight="1" x14ac:dyDescent="0.3">
      <c r="A460" s="2" t="s">
        <v>125</v>
      </c>
      <c r="B460" s="2" t="s">
        <v>1014</v>
      </c>
      <c r="C460" s="5" t="s">
        <v>1019</v>
      </c>
      <c r="D460" s="2" t="s">
        <v>1020</v>
      </c>
    </row>
    <row r="461" spans="1:4" ht="13.05" customHeight="1" x14ac:dyDescent="0.3">
      <c r="A461" s="2" t="s">
        <v>125</v>
      </c>
      <c r="B461" s="2" t="s">
        <v>1014</v>
      </c>
      <c r="C461" s="5" t="s">
        <v>1021</v>
      </c>
      <c r="D461" s="2" t="s">
        <v>1191</v>
      </c>
    </row>
    <row r="462" spans="1:4" ht="13.05" customHeight="1" x14ac:dyDescent="0.3">
      <c r="A462" s="2" t="s">
        <v>125</v>
      </c>
      <c r="B462" s="2" t="s">
        <v>1014</v>
      </c>
      <c r="C462" s="5" t="s">
        <v>1023</v>
      </c>
      <c r="D462" s="2" t="s">
        <v>1192</v>
      </c>
    </row>
    <row r="463" spans="1:4" ht="13.05" customHeight="1" x14ac:dyDescent="0.3">
      <c r="A463" s="2" t="s">
        <v>125</v>
      </c>
      <c r="B463" s="2" t="s">
        <v>1014</v>
      </c>
      <c r="C463" s="5" t="s">
        <v>1025</v>
      </c>
      <c r="D463" s="2" t="s">
        <v>1193</v>
      </c>
    </row>
    <row r="464" spans="1:4" ht="13.05" customHeight="1" x14ac:dyDescent="0.3">
      <c r="A464" s="2" t="s">
        <v>125</v>
      </c>
      <c r="B464" s="2" t="s">
        <v>1014</v>
      </c>
      <c r="C464" s="5" t="s">
        <v>1027</v>
      </c>
      <c r="D464" s="2" t="s">
        <v>1194</v>
      </c>
    </row>
    <row r="465" spans="1:4" ht="13.05" customHeight="1" x14ac:dyDescent="0.3">
      <c r="A465" s="2" t="s">
        <v>125</v>
      </c>
      <c r="B465" s="2" t="s">
        <v>1014</v>
      </c>
      <c r="C465" s="5" t="s">
        <v>1029</v>
      </c>
      <c r="D465" s="2" t="s">
        <v>1195</v>
      </c>
    </row>
    <row r="466" spans="1:4" ht="13.05" customHeight="1" x14ac:dyDescent="0.3">
      <c r="A466" s="2" t="s">
        <v>125</v>
      </c>
      <c r="B466" s="2" t="s">
        <v>1014</v>
      </c>
      <c r="C466" s="5" t="s">
        <v>1031</v>
      </c>
      <c r="D466" s="2" t="s">
        <v>1196</v>
      </c>
    </row>
    <row r="467" spans="1:4" ht="13.05" customHeight="1" x14ac:dyDescent="0.3">
      <c r="A467" s="2" t="s">
        <v>125</v>
      </c>
      <c r="B467" s="2" t="s">
        <v>1014</v>
      </c>
      <c r="C467" s="5" t="s">
        <v>1040</v>
      </c>
      <c r="D467" s="2" t="s">
        <v>1197</v>
      </c>
    </row>
    <row r="468" spans="1:4" ht="13.05" customHeight="1" x14ac:dyDescent="0.3">
      <c r="A468" s="2" t="s">
        <v>125</v>
      </c>
      <c r="B468" s="2" t="s">
        <v>1014</v>
      </c>
      <c r="C468" s="5" t="s">
        <v>1061</v>
      </c>
      <c r="D468" s="2" t="s">
        <v>1104</v>
      </c>
    </row>
    <row r="469" spans="1:4" ht="13.05" customHeight="1" x14ac:dyDescent="0.3">
      <c r="A469" s="2" t="s">
        <v>127</v>
      </c>
      <c r="B469" s="2" t="s">
        <v>1014</v>
      </c>
      <c r="C469" s="5" t="s">
        <v>1044</v>
      </c>
      <c r="D469" s="2" t="s">
        <v>1045</v>
      </c>
    </row>
    <row r="470" spans="1:4" ht="13.05" customHeight="1" x14ac:dyDescent="0.3">
      <c r="A470" s="2" t="s">
        <v>127</v>
      </c>
      <c r="B470" s="2" t="s">
        <v>1014</v>
      </c>
      <c r="C470" s="5" t="s">
        <v>1015</v>
      </c>
      <c r="D470" s="2" t="s">
        <v>1016</v>
      </c>
    </row>
    <row r="471" spans="1:4" ht="13.05" customHeight="1" x14ac:dyDescent="0.3">
      <c r="A471" s="2" t="s">
        <v>127</v>
      </c>
      <c r="B471" s="2" t="s">
        <v>1014</v>
      </c>
      <c r="C471" s="5" t="s">
        <v>1017</v>
      </c>
      <c r="D471" s="2" t="s">
        <v>1018</v>
      </c>
    </row>
    <row r="472" spans="1:4" ht="13.05" customHeight="1" x14ac:dyDescent="0.3">
      <c r="A472" s="2" t="s">
        <v>127</v>
      </c>
      <c r="B472" s="2" t="s">
        <v>1014</v>
      </c>
      <c r="C472" s="5" t="s">
        <v>1019</v>
      </c>
      <c r="D472" s="2" t="s">
        <v>1020</v>
      </c>
    </row>
    <row r="473" spans="1:4" ht="13.05" customHeight="1" x14ac:dyDescent="0.3">
      <c r="A473" s="2" t="s">
        <v>127</v>
      </c>
      <c r="B473" s="2" t="s">
        <v>1014</v>
      </c>
      <c r="C473" s="5" t="s">
        <v>1021</v>
      </c>
      <c r="D473" s="2" t="s">
        <v>1191</v>
      </c>
    </row>
    <row r="474" spans="1:4" ht="13.05" customHeight="1" x14ac:dyDescent="0.3">
      <c r="A474" s="2" t="s">
        <v>127</v>
      </c>
      <c r="B474" s="2" t="s">
        <v>1014</v>
      </c>
      <c r="C474" s="5" t="s">
        <v>1023</v>
      </c>
      <c r="D474" s="2" t="s">
        <v>1192</v>
      </c>
    </row>
    <row r="475" spans="1:4" ht="13.05" customHeight="1" x14ac:dyDescent="0.3">
      <c r="A475" s="2" t="s">
        <v>127</v>
      </c>
      <c r="B475" s="2" t="s">
        <v>1014</v>
      </c>
      <c r="C475" s="5" t="s">
        <v>1025</v>
      </c>
      <c r="D475" s="2" t="s">
        <v>1193</v>
      </c>
    </row>
    <row r="476" spans="1:4" ht="13.05" customHeight="1" x14ac:dyDescent="0.3">
      <c r="A476" s="2" t="s">
        <v>127</v>
      </c>
      <c r="B476" s="2" t="s">
        <v>1014</v>
      </c>
      <c r="C476" s="5" t="s">
        <v>1027</v>
      </c>
      <c r="D476" s="2" t="s">
        <v>1194</v>
      </c>
    </row>
    <row r="477" spans="1:4" ht="13.05" customHeight="1" x14ac:dyDescent="0.3">
      <c r="A477" s="2" t="s">
        <v>127</v>
      </c>
      <c r="B477" s="2" t="s">
        <v>1014</v>
      </c>
      <c r="C477" s="5" t="s">
        <v>1029</v>
      </c>
      <c r="D477" s="2" t="s">
        <v>1195</v>
      </c>
    </row>
    <row r="478" spans="1:4" ht="13.05" customHeight="1" x14ac:dyDescent="0.3">
      <c r="A478" s="2" t="s">
        <v>127</v>
      </c>
      <c r="B478" s="2" t="s">
        <v>1014</v>
      </c>
      <c r="C478" s="5" t="s">
        <v>1031</v>
      </c>
      <c r="D478" s="2" t="s">
        <v>1196</v>
      </c>
    </row>
    <row r="479" spans="1:4" ht="13.05" customHeight="1" x14ac:dyDescent="0.3">
      <c r="A479" s="2" t="s">
        <v>127</v>
      </c>
      <c r="B479" s="2" t="s">
        <v>1014</v>
      </c>
      <c r="C479" s="5" t="s">
        <v>1040</v>
      </c>
      <c r="D479" s="2" t="s">
        <v>1197</v>
      </c>
    </row>
    <row r="480" spans="1:4" ht="13.05" customHeight="1" x14ac:dyDescent="0.3">
      <c r="A480" s="2" t="s">
        <v>127</v>
      </c>
      <c r="B480" s="2" t="s">
        <v>1014</v>
      </c>
      <c r="C480" s="5" t="s">
        <v>1061</v>
      </c>
      <c r="D480" s="2" t="s">
        <v>1104</v>
      </c>
    </row>
    <row r="481" spans="1:4" ht="13.05" customHeight="1" x14ac:dyDescent="0.3">
      <c r="A481" s="2" t="s">
        <v>129</v>
      </c>
      <c r="B481" s="2" t="s">
        <v>1014</v>
      </c>
      <c r="C481" s="5" t="s">
        <v>1044</v>
      </c>
      <c r="D481" s="2" t="s">
        <v>1045</v>
      </c>
    </row>
    <row r="482" spans="1:4" ht="13.05" customHeight="1" x14ac:dyDescent="0.3">
      <c r="A482" s="2" t="s">
        <v>129</v>
      </c>
      <c r="B482" s="2" t="s">
        <v>1014</v>
      </c>
      <c r="C482" s="5" t="s">
        <v>1015</v>
      </c>
      <c r="D482" s="2" t="s">
        <v>1016</v>
      </c>
    </row>
    <row r="483" spans="1:4" ht="13.05" customHeight="1" x14ac:dyDescent="0.3">
      <c r="A483" s="2" t="s">
        <v>129</v>
      </c>
      <c r="B483" s="2" t="s">
        <v>1014</v>
      </c>
      <c r="C483" s="5" t="s">
        <v>1017</v>
      </c>
      <c r="D483" s="2" t="s">
        <v>1018</v>
      </c>
    </row>
    <row r="484" spans="1:4" ht="13.05" customHeight="1" x14ac:dyDescent="0.3">
      <c r="A484" s="2" t="s">
        <v>129</v>
      </c>
      <c r="B484" s="2" t="s">
        <v>1014</v>
      </c>
      <c r="C484" s="5" t="s">
        <v>1019</v>
      </c>
      <c r="D484" s="2" t="s">
        <v>1020</v>
      </c>
    </row>
    <row r="485" spans="1:4" ht="13.05" customHeight="1" x14ac:dyDescent="0.3">
      <c r="A485" s="2" t="s">
        <v>129</v>
      </c>
      <c r="B485" s="2" t="s">
        <v>1014</v>
      </c>
      <c r="C485" s="5" t="s">
        <v>1021</v>
      </c>
      <c r="D485" s="2" t="s">
        <v>1191</v>
      </c>
    </row>
    <row r="486" spans="1:4" ht="13.05" customHeight="1" x14ac:dyDescent="0.3">
      <c r="A486" s="2" t="s">
        <v>129</v>
      </c>
      <c r="B486" s="2" t="s">
        <v>1014</v>
      </c>
      <c r="C486" s="5" t="s">
        <v>1023</v>
      </c>
      <c r="D486" s="2" t="s">
        <v>1192</v>
      </c>
    </row>
    <row r="487" spans="1:4" ht="13.05" customHeight="1" x14ac:dyDescent="0.3">
      <c r="A487" s="2" t="s">
        <v>129</v>
      </c>
      <c r="B487" s="2" t="s">
        <v>1014</v>
      </c>
      <c r="C487" s="5" t="s">
        <v>1025</v>
      </c>
      <c r="D487" s="2" t="s">
        <v>1193</v>
      </c>
    </row>
    <row r="488" spans="1:4" ht="13.05" customHeight="1" x14ac:dyDescent="0.3">
      <c r="A488" s="2" t="s">
        <v>129</v>
      </c>
      <c r="B488" s="2" t="s">
        <v>1014</v>
      </c>
      <c r="C488" s="5" t="s">
        <v>1027</v>
      </c>
      <c r="D488" s="2" t="s">
        <v>1194</v>
      </c>
    </row>
    <row r="489" spans="1:4" ht="13.05" customHeight="1" x14ac:dyDescent="0.3">
      <c r="A489" s="2" t="s">
        <v>129</v>
      </c>
      <c r="B489" s="2" t="s">
        <v>1014</v>
      </c>
      <c r="C489" s="5" t="s">
        <v>1029</v>
      </c>
      <c r="D489" s="2" t="s">
        <v>1195</v>
      </c>
    </row>
    <row r="490" spans="1:4" ht="13.05" customHeight="1" x14ac:dyDescent="0.3">
      <c r="A490" s="2" t="s">
        <v>129</v>
      </c>
      <c r="B490" s="2" t="s">
        <v>1014</v>
      </c>
      <c r="C490" s="5" t="s">
        <v>1031</v>
      </c>
      <c r="D490" s="2" t="s">
        <v>1196</v>
      </c>
    </row>
    <row r="491" spans="1:4" ht="13.05" customHeight="1" x14ac:dyDescent="0.3">
      <c r="A491" s="2" t="s">
        <v>129</v>
      </c>
      <c r="B491" s="2" t="s">
        <v>1014</v>
      </c>
      <c r="C491" s="5" t="s">
        <v>1040</v>
      </c>
      <c r="D491" s="2" t="s">
        <v>1197</v>
      </c>
    </row>
    <row r="492" spans="1:4" ht="13.05" customHeight="1" x14ac:dyDescent="0.3">
      <c r="A492" s="2" t="s">
        <v>129</v>
      </c>
      <c r="B492" s="2" t="s">
        <v>1014</v>
      </c>
      <c r="C492" s="5" t="s">
        <v>1061</v>
      </c>
      <c r="D492" s="2" t="s">
        <v>1104</v>
      </c>
    </row>
    <row r="493" spans="1:4" ht="13.05" customHeight="1" x14ac:dyDescent="0.3">
      <c r="A493" s="2" t="s">
        <v>131</v>
      </c>
      <c r="B493" s="2" t="s">
        <v>1014</v>
      </c>
      <c r="C493" s="5" t="s">
        <v>1044</v>
      </c>
      <c r="D493" s="2" t="s">
        <v>1045</v>
      </c>
    </row>
    <row r="494" spans="1:4" ht="13.05" customHeight="1" x14ac:dyDescent="0.3">
      <c r="A494" s="2" t="s">
        <v>131</v>
      </c>
      <c r="B494" s="2" t="s">
        <v>1014</v>
      </c>
      <c r="C494" s="5" t="s">
        <v>1015</v>
      </c>
      <c r="D494" s="2" t="s">
        <v>1016</v>
      </c>
    </row>
    <row r="495" spans="1:4" ht="13.05" customHeight="1" x14ac:dyDescent="0.3">
      <c r="A495" s="2" t="s">
        <v>131</v>
      </c>
      <c r="B495" s="2" t="s">
        <v>1014</v>
      </c>
      <c r="C495" s="5" t="s">
        <v>1017</v>
      </c>
      <c r="D495" s="2" t="s">
        <v>1018</v>
      </c>
    </row>
    <row r="496" spans="1:4" ht="13.05" customHeight="1" x14ac:dyDescent="0.3">
      <c r="A496" s="2" t="s">
        <v>131</v>
      </c>
      <c r="B496" s="2" t="s">
        <v>1014</v>
      </c>
      <c r="C496" s="5" t="s">
        <v>1019</v>
      </c>
      <c r="D496" s="2" t="s">
        <v>1020</v>
      </c>
    </row>
    <row r="497" spans="1:4" ht="13.05" customHeight="1" x14ac:dyDescent="0.3">
      <c r="A497" s="2" t="s">
        <v>131</v>
      </c>
      <c r="B497" s="2" t="s">
        <v>1014</v>
      </c>
      <c r="C497" s="5" t="s">
        <v>1021</v>
      </c>
      <c r="D497" s="2" t="s">
        <v>1191</v>
      </c>
    </row>
    <row r="498" spans="1:4" ht="13.05" customHeight="1" x14ac:dyDescent="0.3">
      <c r="A498" s="2" t="s">
        <v>131</v>
      </c>
      <c r="B498" s="2" t="s">
        <v>1014</v>
      </c>
      <c r="C498" s="5" t="s">
        <v>1023</v>
      </c>
      <c r="D498" s="2" t="s">
        <v>1192</v>
      </c>
    </row>
    <row r="499" spans="1:4" ht="13.05" customHeight="1" x14ac:dyDescent="0.3">
      <c r="A499" s="2" t="s">
        <v>131</v>
      </c>
      <c r="B499" s="2" t="s">
        <v>1014</v>
      </c>
      <c r="C499" s="5" t="s">
        <v>1025</v>
      </c>
      <c r="D499" s="2" t="s">
        <v>1193</v>
      </c>
    </row>
    <row r="500" spans="1:4" ht="13.05" customHeight="1" x14ac:dyDescent="0.3">
      <c r="A500" s="2" t="s">
        <v>131</v>
      </c>
      <c r="B500" s="2" t="s">
        <v>1014</v>
      </c>
      <c r="C500" s="5" t="s">
        <v>1027</v>
      </c>
      <c r="D500" s="2" t="s">
        <v>1194</v>
      </c>
    </row>
    <row r="501" spans="1:4" ht="13.05" customHeight="1" x14ac:dyDescent="0.3">
      <c r="A501" s="2" t="s">
        <v>131</v>
      </c>
      <c r="B501" s="2" t="s">
        <v>1014</v>
      </c>
      <c r="C501" s="5" t="s">
        <v>1029</v>
      </c>
      <c r="D501" s="2" t="s">
        <v>1195</v>
      </c>
    </row>
    <row r="502" spans="1:4" ht="13.05" customHeight="1" x14ac:dyDescent="0.3">
      <c r="A502" s="2" t="s">
        <v>131</v>
      </c>
      <c r="B502" s="2" t="s">
        <v>1014</v>
      </c>
      <c r="C502" s="5" t="s">
        <v>1031</v>
      </c>
      <c r="D502" s="2" t="s">
        <v>1196</v>
      </c>
    </row>
    <row r="503" spans="1:4" ht="13.05" customHeight="1" x14ac:dyDescent="0.3">
      <c r="A503" s="2" t="s">
        <v>131</v>
      </c>
      <c r="B503" s="2" t="s">
        <v>1014</v>
      </c>
      <c r="C503" s="5" t="s">
        <v>1040</v>
      </c>
      <c r="D503" s="2" t="s">
        <v>1197</v>
      </c>
    </row>
    <row r="504" spans="1:4" ht="13.05" customHeight="1" x14ac:dyDescent="0.3">
      <c r="A504" s="2" t="s">
        <v>131</v>
      </c>
      <c r="B504" s="2" t="s">
        <v>1014</v>
      </c>
      <c r="C504" s="5" t="s">
        <v>1061</v>
      </c>
      <c r="D504" s="2" t="s">
        <v>1104</v>
      </c>
    </row>
    <row r="505" spans="1:4" ht="13.05" customHeight="1" x14ac:dyDescent="0.3">
      <c r="A505" s="2" t="s">
        <v>133</v>
      </c>
      <c r="B505" s="2" t="s">
        <v>1014</v>
      </c>
      <c r="C505" s="5" t="s">
        <v>1044</v>
      </c>
      <c r="D505" s="2" t="s">
        <v>1045</v>
      </c>
    </row>
    <row r="506" spans="1:4" ht="13.05" customHeight="1" x14ac:dyDescent="0.3">
      <c r="A506" s="2" t="s">
        <v>133</v>
      </c>
      <c r="B506" s="2" t="s">
        <v>1014</v>
      </c>
      <c r="C506" s="5" t="s">
        <v>1015</v>
      </c>
      <c r="D506" s="2" t="s">
        <v>1016</v>
      </c>
    </row>
    <row r="507" spans="1:4" ht="13.05" customHeight="1" x14ac:dyDescent="0.3">
      <c r="A507" s="2" t="s">
        <v>133</v>
      </c>
      <c r="B507" s="2" t="s">
        <v>1014</v>
      </c>
      <c r="C507" s="5" t="s">
        <v>1017</v>
      </c>
      <c r="D507" s="2" t="s">
        <v>1018</v>
      </c>
    </row>
    <row r="508" spans="1:4" ht="13.05" customHeight="1" x14ac:dyDescent="0.3">
      <c r="A508" s="2" t="s">
        <v>133</v>
      </c>
      <c r="B508" s="2" t="s">
        <v>1014</v>
      </c>
      <c r="C508" s="5" t="s">
        <v>1019</v>
      </c>
      <c r="D508" s="2" t="s">
        <v>1020</v>
      </c>
    </row>
    <row r="509" spans="1:4" ht="13.05" customHeight="1" x14ac:dyDescent="0.3">
      <c r="A509" s="2" t="s">
        <v>133</v>
      </c>
      <c r="B509" s="2" t="s">
        <v>1014</v>
      </c>
      <c r="C509" s="5" t="s">
        <v>1021</v>
      </c>
      <c r="D509" s="2" t="s">
        <v>1191</v>
      </c>
    </row>
    <row r="510" spans="1:4" ht="13.05" customHeight="1" x14ac:dyDescent="0.3">
      <c r="A510" s="2" t="s">
        <v>133</v>
      </c>
      <c r="B510" s="2" t="s">
        <v>1014</v>
      </c>
      <c r="C510" s="5" t="s">
        <v>1023</v>
      </c>
      <c r="D510" s="2" t="s">
        <v>1192</v>
      </c>
    </row>
    <row r="511" spans="1:4" ht="13.05" customHeight="1" x14ac:dyDescent="0.3">
      <c r="A511" s="2" t="s">
        <v>133</v>
      </c>
      <c r="B511" s="2" t="s">
        <v>1014</v>
      </c>
      <c r="C511" s="5" t="s">
        <v>1025</v>
      </c>
      <c r="D511" s="2" t="s">
        <v>1193</v>
      </c>
    </row>
    <row r="512" spans="1:4" ht="13.05" customHeight="1" x14ac:dyDescent="0.3">
      <c r="A512" s="2" t="s">
        <v>133</v>
      </c>
      <c r="B512" s="2" t="s">
        <v>1014</v>
      </c>
      <c r="C512" s="5" t="s">
        <v>1027</v>
      </c>
      <c r="D512" s="2" t="s">
        <v>1194</v>
      </c>
    </row>
    <row r="513" spans="1:4" ht="13.05" customHeight="1" x14ac:dyDescent="0.3">
      <c r="A513" s="2" t="s">
        <v>133</v>
      </c>
      <c r="B513" s="2" t="s">
        <v>1014</v>
      </c>
      <c r="C513" s="5" t="s">
        <v>1029</v>
      </c>
      <c r="D513" s="2" t="s">
        <v>1195</v>
      </c>
    </row>
    <row r="514" spans="1:4" ht="13.05" customHeight="1" x14ac:dyDescent="0.3">
      <c r="A514" s="2" t="s">
        <v>133</v>
      </c>
      <c r="B514" s="2" t="s">
        <v>1014</v>
      </c>
      <c r="C514" s="5" t="s">
        <v>1031</v>
      </c>
      <c r="D514" s="2" t="s">
        <v>1196</v>
      </c>
    </row>
    <row r="515" spans="1:4" ht="13.05" customHeight="1" x14ac:dyDescent="0.3">
      <c r="A515" s="2" t="s">
        <v>133</v>
      </c>
      <c r="B515" s="2" t="s">
        <v>1014</v>
      </c>
      <c r="C515" s="5" t="s">
        <v>1040</v>
      </c>
      <c r="D515" s="2" t="s">
        <v>1197</v>
      </c>
    </row>
    <row r="516" spans="1:4" ht="13.05" customHeight="1" x14ac:dyDescent="0.3">
      <c r="A516" s="2" t="s">
        <v>133</v>
      </c>
      <c r="B516" s="2" t="s">
        <v>1014</v>
      </c>
      <c r="C516" s="5" t="s">
        <v>1061</v>
      </c>
      <c r="D516" s="2" t="s">
        <v>1104</v>
      </c>
    </row>
    <row r="517" spans="1:4" ht="13.05" customHeight="1" x14ac:dyDescent="0.3">
      <c r="A517" s="2" t="s">
        <v>137</v>
      </c>
      <c r="B517" s="2" t="s">
        <v>1105</v>
      </c>
      <c r="C517" s="5" t="s">
        <v>1019</v>
      </c>
      <c r="D517" s="2" t="s">
        <v>1020</v>
      </c>
    </row>
    <row r="518" spans="1:4" ht="13.05" customHeight="1" x14ac:dyDescent="0.3">
      <c r="A518" s="2" t="s">
        <v>139</v>
      </c>
      <c r="B518" s="2" t="s">
        <v>1014</v>
      </c>
      <c r="C518" s="5" t="s">
        <v>1044</v>
      </c>
      <c r="D518" s="2" t="s">
        <v>1045</v>
      </c>
    </row>
    <row r="519" spans="1:4" ht="13.05" customHeight="1" x14ac:dyDescent="0.3">
      <c r="A519" s="2" t="s">
        <v>139</v>
      </c>
      <c r="B519" s="2" t="s">
        <v>1014</v>
      </c>
      <c r="C519" s="5" t="s">
        <v>1015</v>
      </c>
      <c r="D519" s="2" t="s">
        <v>1092</v>
      </c>
    </row>
    <row r="520" spans="1:4" ht="13.05" customHeight="1" x14ac:dyDescent="0.3">
      <c r="A520" s="2" t="s">
        <v>139</v>
      </c>
      <c r="B520" s="2" t="s">
        <v>1014</v>
      </c>
      <c r="C520" s="5" t="s">
        <v>1017</v>
      </c>
      <c r="D520" s="2" t="s">
        <v>1086</v>
      </c>
    </row>
    <row r="521" spans="1:4" ht="13.05" customHeight="1" x14ac:dyDescent="0.3">
      <c r="A521" s="2" t="s">
        <v>139</v>
      </c>
      <c r="B521" s="2" t="s">
        <v>1014</v>
      </c>
      <c r="C521" s="5" t="s">
        <v>1019</v>
      </c>
      <c r="D521" s="2" t="s">
        <v>1020</v>
      </c>
    </row>
    <row r="522" spans="1:4" ht="13.05" customHeight="1" x14ac:dyDescent="0.3">
      <c r="A522" s="2" t="s">
        <v>142</v>
      </c>
      <c r="B522" s="2" t="s">
        <v>1014</v>
      </c>
      <c r="C522" s="5" t="s">
        <v>1021</v>
      </c>
      <c r="D522" s="2" t="s">
        <v>1106</v>
      </c>
    </row>
    <row r="523" spans="1:4" ht="13.05" customHeight="1" x14ac:dyDescent="0.3">
      <c r="A523" s="2" t="s">
        <v>142</v>
      </c>
      <c r="B523" s="2" t="s">
        <v>1014</v>
      </c>
      <c r="C523" s="5" t="s">
        <v>1023</v>
      </c>
      <c r="D523" s="2" t="s">
        <v>1107</v>
      </c>
    </row>
    <row r="524" spans="1:4" ht="13.05" customHeight="1" x14ac:dyDescent="0.3">
      <c r="A524" s="2" t="s">
        <v>144</v>
      </c>
      <c r="B524" s="2" t="s">
        <v>1014</v>
      </c>
      <c r="C524" s="5" t="s">
        <v>1044</v>
      </c>
      <c r="D524" s="2" t="s">
        <v>1045</v>
      </c>
    </row>
    <row r="525" spans="1:4" ht="13.05" customHeight="1" x14ac:dyDescent="0.3">
      <c r="A525" s="2" t="s">
        <v>144</v>
      </c>
      <c r="B525" s="2" t="s">
        <v>1014</v>
      </c>
      <c r="C525" s="5" t="s">
        <v>1015</v>
      </c>
      <c r="D525" s="2" t="s">
        <v>1092</v>
      </c>
    </row>
    <row r="526" spans="1:4" ht="13.05" customHeight="1" x14ac:dyDescent="0.3">
      <c r="A526" s="2" t="s">
        <v>144</v>
      </c>
      <c r="B526" s="2" t="s">
        <v>1014</v>
      </c>
      <c r="C526" s="5" t="s">
        <v>1017</v>
      </c>
      <c r="D526" s="2" t="s">
        <v>1086</v>
      </c>
    </row>
    <row r="527" spans="1:4" ht="13.05" customHeight="1" x14ac:dyDescent="0.3">
      <c r="A527" s="2" t="s">
        <v>144</v>
      </c>
      <c r="B527" s="2" t="s">
        <v>1014</v>
      </c>
      <c r="C527" s="5" t="s">
        <v>1021</v>
      </c>
      <c r="D527" s="2" t="s">
        <v>1106</v>
      </c>
    </row>
    <row r="528" spans="1:4" ht="13.05" customHeight="1" x14ac:dyDescent="0.3">
      <c r="A528" s="2" t="s">
        <v>144</v>
      </c>
      <c r="B528" s="2" t="s">
        <v>1014</v>
      </c>
      <c r="C528" s="5" t="s">
        <v>1023</v>
      </c>
      <c r="D528" s="2" t="s">
        <v>1198</v>
      </c>
    </row>
    <row r="529" spans="1:4" ht="13.05" customHeight="1" x14ac:dyDescent="0.3">
      <c r="A529" s="2" t="s">
        <v>147</v>
      </c>
      <c r="B529" s="2" t="s">
        <v>1014</v>
      </c>
      <c r="C529" s="5" t="s">
        <v>1015</v>
      </c>
      <c r="D529" s="2" t="s">
        <v>1092</v>
      </c>
    </row>
    <row r="530" spans="1:4" ht="13.05" customHeight="1" x14ac:dyDescent="0.3">
      <c r="A530" s="2" t="s">
        <v>147</v>
      </c>
      <c r="B530" s="2" t="s">
        <v>1014</v>
      </c>
      <c r="C530" s="5" t="s">
        <v>1017</v>
      </c>
      <c r="D530" s="2" t="s">
        <v>1086</v>
      </c>
    </row>
    <row r="531" spans="1:4" ht="13.05" customHeight="1" x14ac:dyDescent="0.3">
      <c r="A531" s="2" t="s">
        <v>147</v>
      </c>
      <c r="B531" s="2" t="s">
        <v>1014</v>
      </c>
      <c r="C531" s="5" t="s">
        <v>1019</v>
      </c>
      <c r="D531" s="2" t="s">
        <v>1020</v>
      </c>
    </row>
    <row r="532" spans="1:4" ht="13.05" customHeight="1" x14ac:dyDescent="0.3">
      <c r="A532" s="2" t="s">
        <v>147</v>
      </c>
      <c r="B532" s="2" t="s">
        <v>1014</v>
      </c>
      <c r="C532" s="5" t="s">
        <v>1021</v>
      </c>
      <c r="D532" s="2" t="s">
        <v>1106</v>
      </c>
    </row>
    <row r="533" spans="1:4" ht="13.05" customHeight="1" x14ac:dyDescent="0.3">
      <c r="A533" s="2" t="s">
        <v>147</v>
      </c>
      <c r="B533" s="2" t="s">
        <v>1014</v>
      </c>
      <c r="C533" s="5" t="s">
        <v>1023</v>
      </c>
      <c r="D533" s="2" t="s">
        <v>1107</v>
      </c>
    </row>
    <row r="534" spans="1:4" ht="13.05" customHeight="1" x14ac:dyDescent="0.3">
      <c r="A534" s="2" t="s">
        <v>152</v>
      </c>
      <c r="B534" s="2" t="s">
        <v>1014</v>
      </c>
      <c r="C534" s="5" t="s">
        <v>1044</v>
      </c>
      <c r="D534" s="2" t="s">
        <v>1045</v>
      </c>
    </row>
    <row r="535" spans="1:4" ht="13.05" customHeight="1" x14ac:dyDescent="0.3">
      <c r="A535" s="2" t="s">
        <v>152</v>
      </c>
      <c r="B535" s="2" t="s">
        <v>1014</v>
      </c>
      <c r="C535" s="5" t="s">
        <v>1019</v>
      </c>
      <c r="D535" s="2" t="s">
        <v>1020</v>
      </c>
    </row>
    <row r="536" spans="1:4" ht="13.05" customHeight="1" x14ac:dyDescent="0.3">
      <c r="A536" s="2" t="s">
        <v>154</v>
      </c>
      <c r="B536" s="2" t="s">
        <v>1014</v>
      </c>
      <c r="C536" s="5" t="s">
        <v>1044</v>
      </c>
      <c r="D536" s="2" t="s">
        <v>1045</v>
      </c>
    </row>
    <row r="537" spans="1:4" ht="13.05" customHeight="1" x14ac:dyDescent="0.3">
      <c r="A537" s="2" t="s">
        <v>154</v>
      </c>
      <c r="B537" s="2" t="s">
        <v>1014</v>
      </c>
      <c r="C537" s="5" t="s">
        <v>1019</v>
      </c>
      <c r="D537" s="2" t="s">
        <v>1020</v>
      </c>
    </row>
    <row r="538" spans="1:4" ht="13.05" customHeight="1" x14ac:dyDescent="0.3">
      <c r="A538" s="2" t="s">
        <v>156</v>
      </c>
      <c r="B538" s="2" t="s">
        <v>1014</v>
      </c>
      <c r="C538" s="5" t="s">
        <v>1021</v>
      </c>
      <c r="D538" s="2" t="s">
        <v>1106</v>
      </c>
    </row>
    <row r="539" spans="1:4" ht="13.05" customHeight="1" x14ac:dyDescent="0.3">
      <c r="A539" s="2" t="s">
        <v>156</v>
      </c>
      <c r="B539" s="2" t="s">
        <v>1014</v>
      </c>
      <c r="C539" s="5" t="s">
        <v>1023</v>
      </c>
      <c r="D539" s="2" t="s">
        <v>1107</v>
      </c>
    </row>
    <row r="540" spans="1:4" ht="13.05" customHeight="1" x14ac:dyDescent="0.3">
      <c r="A540" s="2" t="s">
        <v>158</v>
      </c>
      <c r="B540" s="2" t="s">
        <v>1199</v>
      </c>
      <c r="C540" s="5" t="s">
        <v>1044</v>
      </c>
      <c r="D540" s="2" t="s">
        <v>1045</v>
      </c>
    </row>
    <row r="541" spans="1:4" ht="13.05" customHeight="1" x14ac:dyDescent="0.3">
      <c r="A541" s="2" t="s">
        <v>158</v>
      </c>
      <c r="B541" s="2" t="s">
        <v>1199</v>
      </c>
      <c r="C541" s="5" t="s">
        <v>1015</v>
      </c>
      <c r="D541" s="2" t="s">
        <v>1016</v>
      </c>
    </row>
    <row r="542" spans="1:4" ht="13.05" customHeight="1" x14ac:dyDescent="0.3">
      <c r="A542" s="2" t="s">
        <v>158</v>
      </c>
      <c r="B542" s="2" t="s">
        <v>1199</v>
      </c>
      <c r="C542" s="5" t="s">
        <v>1017</v>
      </c>
      <c r="D542" s="2" t="s">
        <v>1086</v>
      </c>
    </row>
    <row r="543" spans="1:4" ht="13.05" customHeight="1" x14ac:dyDescent="0.3">
      <c r="A543" s="2" t="s">
        <v>158</v>
      </c>
      <c r="B543" s="2" t="s">
        <v>1199</v>
      </c>
      <c r="C543" s="5" t="s">
        <v>1019</v>
      </c>
      <c r="D543" s="2" t="s">
        <v>1020</v>
      </c>
    </row>
    <row r="544" spans="1:4" ht="13.05" customHeight="1" x14ac:dyDescent="0.3">
      <c r="A544" s="2" t="s">
        <v>158</v>
      </c>
      <c r="B544" s="2" t="s">
        <v>1199</v>
      </c>
      <c r="C544" s="5" t="s">
        <v>1021</v>
      </c>
      <c r="D544" s="2" t="s">
        <v>1200</v>
      </c>
    </row>
    <row r="545" spans="1:4" ht="13.05" customHeight="1" x14ac:dyDescent="0.3">
      <c r="A545" s="2" t="s">
        <v>158</v>
      </c>
      <c r="B545" s="2" t="s">
        <v>1199</v>
      </c>
      <c r="C545" s="5" t="s">
        <v>1023</v>
      </c>
      <c r="D545" s="2" t="s">
        <v>1201</v>
      </c>
    </row>
    <row r="546" spans="1:4" ht="13.05" customHeight="1" x14ac:dyDescent="0.3">
      <c r="A546" s="2" t="s">
        <v>158</v>
      </c>
      <c r="B546" s="2" t="s">
        <v>1199</v>
      </c>
      <c r="C546" s="5" t="s">
        <v>1025</v>
      </c>
      <c r="D546" s="2" t="s">
        <v>1202</v>
      </c>
    </row>
    <row r="547" spans="1:4" ht="13.05" customHeight="1" x14ac:dyDescent="0.3">
      <c r="A547" s="2" t="s">
        <v>161</v>
      </c>
      <c r="B547" s="2" t="s">
        <v>1014</v>
      </c>
      <c r="C547" s="5" t="s">
        <v>1044</v>
      </c>
      <c r="D547" s="2" t="s">
        <v>1045</v>
      </c>
    </row>
    <row r="548" spans="1:4" ht="13.05" customHeight="1" x14ac:dyDescent="0.3">
      <c r="A548" s="2" t="s">
        <v>161</v>
      </c>
      <c r="B548" s="2" t="s">
        <v>1014</v>
      </c>
      <c r="C548" s="5" t="s">
        <v>1015</v>
      </c>
      <c r="D548" s="2" t="s">
        <v>1016</v>
      </c>
    </row>
    <row r="549" spans="1:4" ht="13.05" customHeight="1" x14ac:dyDescent="0.3">
      <c r="A549" s="2" t="s">
        <v>161</v>
      </c>
      <c r="B549" s="2" t="s">
        <v>1014</v>
      </c>
      <c r="C549" s="5" t="s">
        <v>1017</v>
      </c>
      <c r="D549" s="2" t="s">
        <v>1018</v>
      </c>
    </row>
    <row r="550" spans="1:4" ht="13.05" customHeight="1" x14ac:dyDescent="0.3">
      <c r="A550" s="2" t="s">
        <v>161</v>
      </c>
      <c r="B550" s="2" t="s">
        <v>1014</v>
      </c>
      <c r="C550" s="5" t="s">
        <v>1021</v>
      </c>
      <c r="D550" s="2" t="s">
        <v>1106</v>
      </c>
    </row>
    <row r="551" spans="1:4" ht="13.05" customHeight="1" x14ac:dyDescent="0.3">
      <c r="A551" s="2" t="s">
        <v>161</v>
      </c>
      <c r="B551" s="2" t="s">
        <v>1014</v>
      </c>
      <c r="C551" s="5" t="s">
        <v>1023</v>
      </c>
      <c r="D551" s="2" t="s">
        <v>1107</v>
      </c>
    </row>
    <row r="552" spans="1:4" ht="13.05" customHeight="1" x14ac:dyDescent="0.3">
      <c r="A552" s="2" t="s">
        <v>166</v>
      </c>
      <c r="B552" s="2" t="s">
        <v>1199</v>
      </c>
      <c r="C552" s="5" t="s">
        <v>1019</v>
      </c>
      <c r="D552" s="2" t="s">
        <v>1020</v>
      </c>
    </row>
    <row r="553" spans="1:4" ht="13.05" customHeight="1" x14ac:dyDescent="0.3">
      <c r="A553" s="2" t="s">
        <v>166</v>
      </c>
      <c r="B553" s="2" t="s">
        <v>1199</v>
      </c>
      <c r="C553" s="5" t="s">
        <v>1021</v>
      </c>
      <c r="D553" s="2" t="s">
        <v>1106</v>
      </c>
    </row>
    <row r="554" spans="1:4" ht="13.05" customHeight="1" x14ac:dyDescent="0.3">
      <c r="A554" s="2" t="s">
        <v>166</v>
      </c>
      <c r="B554" s="2" t="s">
        <v>1199</v>
      </c>
      <c r="C554" s="5" t="s">
        <v>1023</v>
      </c>
      <c r="D554" s="2" t="s">
        <v>1107</v>
      </c>
    </row>
    <row r="555" spans="1:4" ht="13.05" customHeight="1" x14ac:dyDescent="0.3">
      <c r="A555" s="2" t="s">
        <v>168</v>
      </c>
      <c r="B555" s="2" t="s">
        <v>1199</v>
      </c>
      <c r="C555" s="5" t="s">
        <v>1044</v>
      </c>
      <c r="D555" s="2" t="s">
        <v>1045</v>
      </c>
    </row>
    <row r="556" spans="1:4" ht="13.05" customHeight="1" x14ac:dyDescent="0.3">
      <c r="A556" s="2" t="s">
        <v>170</v>
      </c>
      <c r="B556" s="2" t="s">
        <v>1014</v>
      </c>
      <c r="C556" s="5" t="s">
        <v>1015</v>
      </c>
      <c r="D556" s="2" t="s">
        <v>1016</v>
      </c>
    </row>
    <row r="557" spans="1:4" ht="13.05" customHeight="1" x14ac:dyDescent="0.3">
      <c r="A557" s="2" t="s">
        <v>170</v>
      </c>
      <c r="B557" s="2" t="s">
        <v>1014</v>
      </c>
      <c r="C557" s="5" t="s">
        <v>1017</v>
      </c>
      <c r="D557" s="2" t="s">
        <v>1018</v>
      </c>
    </row>
    <row r="558" spans="1:4" ht="13.05" customHeight="1" x14ac:dyDescent="0.3">
      <c r="A558" s="2" t="s">
        <v>170</v>
      </c>
      <c r="B558" s="2" t="s">
        <v>1014</v>
      </c>
      <c r="C558" s="5" t="s">
        <v>1019</v>
      </c>
      <c r="D558" s="2" t="s">
        <v>1020</v>
      </c>
    </row>
    <row r="559" spans="1:4" ht="13.05" customHeight="1" x14ac:dyDescent="0.3">
      <c r="A559" s="2" t="s">
        <v>170</v>
      </c>
      <c r="B559" s="2" t="s">
        <v>1014</v>
      </c>
      <c r="C559" s="5" t="s">
        <v>1021</v>
      </c>
      <c r="D559" s="2" t="s">
        <v>1203</v>
      </c>
    </row>
    <row r="560" spans="1:4" ht="13.05" customHeight="1" x14ac:dyDescent="0.3">
      <c r="A560" s="2" t="s">
        <v>170</v>
      </c>
      <c r="B560" s="2" t="s">
        <v>1014</v>
      </c>
      <c r="C560" s="5" t="s">
        <v>1023</v>
      </c>
      <c r="D560" s="2" t="s">
        <v>1204</v>
      </c>
    </row>
    <row r="561" spans="1:4" ht="13.05" customHeight="1" x14ac:dyDescent="0.3">
      <c r="A561" s="2" t="s">
        <v>170</v>
      </c>
      <c r="B561" s="2" t="s">
        <v>1014</v>
      </c>
      <c r="C561" s="5" t="s">
        <v>1025</v>
      </c>
      <c r="D561" s="2" t="s">
        <v>1205</v>
      </c>
    </row>
    <row r="562" spans="1:4" ht="13.05" customHeight="1" x14ac:dyDescent="0.3">
      <c r="A562" s="2" t="s">
        <v>170</v>
      </c>
      <c r="B562" s="2" t="s">
        <v>1014</v>
      </c>
      <c r="C562" s="5" t="s">
        <v>1027</v>
      </c>
      <c r="D562" s="2" t="s">
        <v>1206</v>
      </c>
    </row>
    <row r="563" spans="1:4" ht="13.05" customHeight="1" x14ac:dyDescent="0.3">
      <c r="A563" s="2" t="s">
        <v>170</v>
      </c>
      <c r="B563" s="2" t="s">
        <v>1014</v>
      </c>
      <c r="C563" s="5" t="s">
        <v>1029</v>
      </c>
      <c r="D563" s="2" t="s">
        <v>1207</v>
      </c>
    </row>
    <row r="564" spans="1:4" ht="13.05" customHeight="1" x14ac:dyDescent="0.3">
      <c r="A564" s="2" t="s">
        <v>184</v>
      </c>
      <c r="B564" s="2" t="s">
        <v>1054</v>
      </c>
      <c r="C564" s="5" t="s">
        <v>1044</v>
      </c>
      <c r="D564" s="2" t="s">
        <v>1045</v>
      </c>
    </row>
    <row r="565" spans="1:4" ht="13.05" customHeight="1" x14ac:dyDescent="0.3">
      <c r="A565" s="2" t="s">
        <v>184</v>
      </c>
      <c r="B565" s="2" t="s">
        <v>1054</v>
      </c>
      <c r="C565" s="5" t="s">
        <v>1015</v>
      </c>
      <c r="D565" s="2" t="s">
        <v>1016</v>
      </c>
    </row>
    <row r="566" spans="1:4" ht="13.05" customHeight="1" x14ac:dyDescent="0.3">
      <c r="A566" s="2" t="s">
        <v>184</v>
      </c>
      <c r="B566" s="2" t="s">
        <v>1054</v>
      </c>
      <c r="C566" s="5" t="s">
        <v>1017</v>
      </c>
      <c r="D566" s="2" t="s">
        <v>1018</v>
      </c>
    </row>
    <row r="567" spans="1:4" ht="13.05" customHeight="1" x14ac:dyDescent="0.3">
      <c r="A567" s="2" t="s">
        <v>184</v>
      </c>
      <c r="B567" s="2" t="s">
        <v>1054</v>
      </c>
      <c r="C567" s="5" t="s">
        <v>1019</v>
      </c>
      <c r="D567" s="2" t="s">
        <v>1020</v>
      </c>
    </row>
    <row r="568" spans="1:4" ht="13.05" customHeight="1" x14ac:dyDescent="0.3">
      <c r="A568" s="2" t="s">
        <v>184</v>
      </c>
      <c r="B568" s="2" t="s">
        <v>1054</v>
      </c>
      <c r="C568" s="5" t="s">
        <v>1021</v>
      </c>
      <c r="D568" s="2" t="s">
        <v>1208</v>
      </c>
    </row>
    <row r="569" spans="1:4" ht="13.05" customHeight="1" x14ac:dyDescent="0.3">
      <c r="A569" s="2" t="s">
        <v>184</v>
      </c>
      <c r="B569" s="2" t="s">
        <v>1054</v>
      </c>
      <c r="C569" s="5" t="s">
        <v>1023</v>
      </c>
      <c r="D569" s="2" t="s">
        <v>1209</v>
      </c>
    </row>
    <row r="570" spans="1:4" ht="13.05" customHeight="1" x14ac:dyDescent="0.3">
      <c r="A570" s="2" t="s">
        <v>184</v>
      </c>
      <c r="B570" s="2" t="s">
        <v>1054</v>
      </c>
      <c r="C570" s="5" t="s">
        <v>1025</v>
      </c>
      <c r="D570" s="2" t="s">
        <v>1210</v>
      </c>
    </row>
    <row r="571" spans="1:4" ht="13.05" customHeight="1" x14ac:dyDescent="0.3">
      <c r="A571" s="2" t="s">
        <v>184</v>
      </c>
      <c r="B571" s="2" t="s">
        <v>1054</v>
      </c>
      <c r="C571" s="5" t="s">
        <v>1027</v>
      </c>
      <c r="D571" s="2" t="s">
        <v>1211</v>
      </c>
    </row>
    <row r="572" spans="1:4" ht="13.05" customHeight="1" x14ac:dyDescent="0.3">
      <c r="A572" s="2" t="s">
        <v>184</v>
      </c>
      <c r="B572" s="2" t="s">
        <v>1054</v>
      </c>
      <c r="C572" s="5" t="s">
        <v>1029</v>
      </c>
      <c r="D572" s="2" t="s">
        <v>1212</v>
      </c>
    </row>
    <row r="573" spans="1:4" ht="13.05" customHeight="1" x14ac:dyDescent="0.3">
      <c r="A573" s="2" t="s">
        <v>187</v>
      </c>
      <c r="B573" s="2" t="s">
        <v>1054</v>
      </c>
      <c r="C573" s="5" t="s">
        <v>1213</v>
      </c>
      <c r="D573" s="2" t="s">
        <v>1092</v>
      </c>
    </row>
    <row r="574" spans="1:4" ht="13.05" customHeight="1" x14ac:dyDescent="0.3">
      <c r="A574" s="2" t="s">
        <v>187</v>
      </c>
      <c r="B574" s="2" t="s">
        <v>1054</v>
      </c>
      <c r="C574" s="5" t="s">
        <v>1214</v>
      </c>
      <c r="D574" s="2" t="s">
        <v>1018</v>
      </c>
    </row>
    <row r="575" spans="1:4" ht="13.05" customHeight="1" x14ac:dyDescent="0.3">
      <c r="A575" s="2" t="s">
        <v>187</v>
      </c>
      <c r="B575" s="2" t="s">
        <v>1054</v>
      </c>
      <c r="C575" s="5" t="s">
        <v>1044</v>
      </c>
      <c r="D575" s="2" t="s">
        <v>1045</v>
      </c>
    </row>
    <row r="576" spans="1:4" ht="13.05" customHeight="1" x14ac:dyDescent="0.3">
      <c r="A576" s="2" t="s">
        <v>187</v>
      </c>
      <c r="B576" s="2" t="s">
        <v>1054</v>
      </c>
      <c r="C576" s="5" t="s">
        <v>1015</v>
      </c>
      <c r="D576" s="2" t="s">
        <v>1092</v>
      </c>
    </row>
    <row r="577" spans="1:4" ht="13.05" customHeight="1" x14ac:dyDescent="0.3">
      <c r="A577" s="2" t="s">
        <v>187</v>
      </c>
      <c r="B577" s="2" t="s">
        <v>1054</v>
      </c>
      <c r="C577" s="5" t="s">
        <v>1017</v>
      </c>
      <c r="D577" s="2" t="s">
        <v>1086</v>
      </c>
    </row>
    <row r="578" spans="1:4" ht="13.05" customHeight="1" x14ac:dyDescent="0.3">
      <c r="A578" s="2" t="s">
        <v>187</v>
      </c>
      <c r="B578" s="2" t="s">
        <v>1054</v>
      </c>
      <c r="C578" s="5" t="s">
        <v>1019</v>
      </c>
      <c r="D578" s="2" t="s">
        <v>1020</v>
      </c>
    </row>
    <row r="579" spans="1:4" ht="13.05" customHeight="1" x14ac:dyDescent="0.3">
      <c r="A579" s="2" t="s">
        <v>190</v>
      </c>
      <c r="B579" s="2" t="s">
        <v>1033</v>
      </c>
      <c r="C579" s="5" t="s">
        <v>1021</v>
      </c>
      <c r="D579" s="2" t="s">
        <v>1106</v>
      </c>
    </row>
    <row r="580" spans="1:4" ht="13.05" customHeight="1" x14ac:dyDescent="0.3">
      <c r="A580" s="2" t="s">
        <v>190</v>
      </c>
      <c r="B580" s="2" t="s">
        <v>1033</v>
      </c>
      <c r="C580" s="5" t="s">
        <v>1023</v>
      </c>
      <c r="D580" s="2" t="s">
        <v>1107</v>
      </c>
    </row>
    <row r="581" spans="1:4" ht="13.05" customHeight="1" x14ac:dyDescent="0.3">
      <c r="A581" s="2" t="s">
        <v>192</v>
      </c>
      <c r="B581" s="2" t="s">
        <v>1014</v>
      </c>
      <c r="C581" s="5" t="s">
        <v>1044</v>
      </c>
      <c r="D581" s="2" t="s">
        <v>1045</v>
      </c>
    </row>
    <row r="582" spans="1:4" ht="13.05" customHeight="1" x14ac:dyDescent="0.3">
      <c r="A582" s="2" t="s">
        <v>192</v>
      </c>
      <c r="B582" s="2" t="s">
        <v>1014</v>
      </c>
      <c r="C582" s="5" t="s">
        <v>1015</v>
      </c>
      <c r="D582" s="2" t="s">
        <v>1092</v>
      </c>
    </row>
    <row r="583" spans="1:4" ht="13.05" customHeight="1" x14ac:dyDescent="0.3">
      <c r="A583" s="2" t="s">
        <v>192</v>
      </c>
      <c r="B583" s="2" t="s">
        <v>1014</v>
      </c>
      <c r="C583" s="5" t="s">
        <v>1017</v>
      </c>
      <c r="D583" s="2" t="s">
        <v>1086</v>
      </c>
    </row>
    <row r="584" spans="1:4" ht="13.05" customHeight="1" x14ac:dyDescent="0.3">
      <c r="A584" s="2" t="s">
        <v>192</v>
      </c>
      <c r="B584" s="2" t="s">
        <v>1014</v>
      </c>
      <c r="C584" s="5" t="s">
        <v>1019</v>
      </c>
      <c r="D584" s="2" t="s">
        <v>1020</v>
      </c>
    </row>
    <row r="585" spans="1:4" ht="13.05" customHeight="1" x14ac:dyDescent="0.3">
      <c r="A585" s="2" t="s">
        <v>192</v>
      </c>
      <c r="B585" s="2" t="s">
        <v>1014</v>
      </c>
      <c r="C585" s="5" t="s">
        <v>1021</v>
      </c>
      <c r="D585" s="2" t="s">
        <v>1106</v>
      </c>
    </row>
    <row r="586" spans="1:4" ht="13.05" customHeight="1" x14ac:dyDescent="0.3">
      <c r="A586" s="2" t="s">
        <v>192</v>
      </c>
      <c r="B586" s="2" t="s">
        <v>1014</v>
      </c>
      <c r="C586" s="5" t="s">
        <v>1023</v>
      </c>
      <c r="D586" s="2" t="s">
        <v>1198</v>
      </c>
    </row>
    <row r="587" spans="1:4" ht="13.05" customHeight="1" x14ac:dyDescent="0.3">
      <c r="A587" s="2" t="s">
        <v>195</v>
      </c>
      <c r="B587" s="2" t="s">
        <v>1014</v>
      </c>
      <c r="C587" s="5" t="s">
        <v>1044</v>
      </c>
      <c r="D587" s="2" t="s">
        <v>1045</v>
      </c>
    </row>
    <row r="588" spans="1:4" ht="13.05" customHeight="1" x14ac:dyDescent="0.3">
      <c r="A588" s="2" t="s">
        <v>195</v>
      </c>
      <c r="B588" s="2" t="s">
        <v>1014</v>
      </c>
      <c r="C588" s="5" t="s">
        <v>1021</v>
      </c>
      <c r="D588" s="2" t="s">
        <v>1106</v>
      </c>
    </row>
    <row r="589" spans="1:4" ht="13.05" customHeight="1" x14ac:dyDescent="0.3">
      <c r="A589" s="2" t="s">
        <v>195</v>
      </c>
      <c r="B589" s="2" t="s">
        <v>1014</v>
      </c>
      <c r="C589" s="5" t="s">
        <v>1023</v>
      </c>
      <c r="D589" s="2" t="s">
        <v>1107</v>
      </c>
    </row>
    <row r="590" spans="1:4" ht="13.05" customHeight="1" x14ac:dyDescent="0.3">
      <c r="A590" s="2" t="s">
        <v>197</v>
      </c>
      <c r="B590" s="2" t="s">
        <v>1014</v>
      </c>
      <c r="C590" s="5" t="s">
        <v>1021</v>
      </c>
      <c r="D590" s="2" t="s">
        <v>1106</v>
      </c>
    </row>
    <row r="591" spans="1:4" ht="13.05" customHeight="1" x14ac:dyDescent="0.3">
      <c r="A591" s="2" t="s">
        <v>197</v>
      </c>
      <c r="B591" s="2" t="s">
        <v>1014</v>
      </c>
      <c r="C591" s="5" t="s">
        <v>1023</v>
      </c>
      <c r="D591" s="2" t="s">
        <v>1107</v>
      </c>
    </row>
    <row r="592" spans="1:4" ht="13.05" customHeight="1" x14ac:dyDescent="0.3">
      <c r="A592" s="2" t="s">
        <v>199</v>
      </c>
      <c r="B592" s="2" t="s">
        <v>1054</v>
      </c>
      <c r="C592" s="5" t="s">
        <v>1015</v>
      </c>
      <c r="D592" s="2" t="s">
        <v>1016</v>
      </c>
    </row>
    <row r="593" spans="1:4" ht="13.05" customHeight="1" x14ac:dyDescent="0.3">
      <c r="A593" s="2" t="s">
        <v>199</v>
      </c>
      <c r="B593" s="2" t="s">
        <v>1054</v>
      </c>
      <c r="C593" s="5" t="s">
        <v>1017</v>
      </c>
      <c r="D593" s="2" t="s">
        <v>1086</v>
      </c>
    </row>
    <row r="594" spans="1:4" ht="13.05" customHeight="1" x14ac:dyDescent="0.3">
      <c r="A594" s="2" t="s">
        <v>199</v>
      </c>
      <c r="B594" s="2" t="s">
        <v>1054</v>
      </c>
      <c r="C594" s="5" t="s">
        <v>1021</v>
      </c>
      <c r="D594" s="2" t="s">
        <v>1215</v>
      </c>
    </row>
    <row r="595" spans="1:4" ht="13.05" customHeight="1" x14ac:dyDescent="0.3">
      <c r="A595" s="2" t="s">
        <v>199</v>
      </c>
      <c r="B595" s="2" t="s">
        <v>1054</v>
      </c>
      <c r="C595" s="5" t="s">
        <v>1023</v>
      </c>
      <c r="D595" s="2" t="s">
        <v>1216</v>
      </c>
    </row>
    <row r="596" spans="1:4" ht="13.05" customHeight="1" x14ac:dyDescent="0.3">
      <c r="A596" s="2" t="s">
        <v>199</v>
      </c>
      <c r="B596" s="2" t="s">
        <v>1054</v>
      </c>
      <c r="C596" s="5" t="s">
        <v>1025</v>
      </c>
      <c r="D596" s="2" t="s">
        <v>1217</v>
      </c>
    </row>
    <row r="597" spans="1:4" ht="13.05" customHeight="1" x14ac:dyDescent="0.3">
      <c r="A597" s="2" t="s">
        <v>199</v>
      </c>
      <c r="B597" s="2" t="s">
        <v>1054</v>
      </c>
      <c r="C597" s="5" t="s">
        <v>1052</v>
      </c>
      <c r="D597" s="2" t="s">
        <v>1218</v>
      </c>
    </row>
    <row r="598" spans="1:4" ht="13.05" customHeight="1" x14ac:dyDescent="0.3">
      <c r="A598" s="2" t="s">
        <v>202</v>
      </c>
      <c r="B598" s="2" t="s">
        <v>1054</v>
      </c>
      <c r="C598" s="5" t="s">
        <v>1019</v>
      </c>
      <c r="D598" s="2" t="s">
        <v>1020</v>
      </c>
    </row>
    <row r="599" spans="1:4" ht="13.05" customHeight="1" x14ac:dyDescent="0.3">
      <c r="A599" s="2" t="s">
        <v>207</v>
      </c>
      <c r="B599" s="2" t="s">
        <v>1105</v>
      </c>
      <c r="C599" s="5" t="s">
        <v>1044</v>
      </c>
      <c r="D599" s="2" t="s">
        <v>1045</v>
      </c>
    </row>
    <row r="600" spans="1:4" ht="13.05" customHeight="1" x14ac:dyDescent="0.3">
      <c r="A600" s="2" t="s">
        <v>207</v>
      </c>
      <c r="B600" s="2" t="s">
        <v>1105</v>
      </c>
      <c r="C600" s="5" t="s">
        <v>1019</v>
      </c>
      <c r="D600" s="2" t="s">
        <v>1020</v>
      </c>
    </row>
    <row r="601" spans="1:4" ht="13.05" customHeight="1" x14ac:dyDescent="0.3">
      <c r="A601" s="2" t="s">
        <v>211</v>
      </c>
      <c r="B601" s="2" t="s">
        <v>1014</v>
      </c>
      <c r="C601" s="5" t="s">
        <v>1044</v>
      </c>
      <c r="D601" s="2" t="s">
        <v>1045</v>
      </c>
    </row>
    <row r="602" spans="1:4" ht="13.05" customHeight="1" x14ac:dyDescent="0.3">
      <c r="A602" s="2" t="s">
        <v>213</v>
      </c>
      <c r="B602" s="2" t="s">
        <v>1014</v>
      </c>
      <c r="C602" s="5" t="s">
        <v>1015</v>
      </c>
      <c r="D602" s="2" t="s">
        <v>1092</v>
      </c>
    </row>
    <row r="603" spans="1:4" ht="13.05" customHeight="1" x14ac:dyDescent="0.3">
      <c r="A603" s="2" t="s">
        <v>213</v>
      </c>
      <c r="B603" s="2" t="s">
        <v>1014</v>
      </c>
      <c r="C603" s="5" t="s">
        <v>1017</v>
      </c>
      <c r="D603" s="2" t="s">
        <v>1086</v>
      </c>
    </row>
    <row r="604" spans="1:4" ht="13.05" customHeight="1" x14ac:dyDescent="0.3">
      <c r="A604" s="2" t="s">
        <v>213</v>
      </c>
      <c r="B604" s="2" t="s">
        <v>1014</v>
      </c>
      <c r="C604" s="5" t="s">
        <v>1019</v>
      </c>
      <c r="D604" s="2" t="s">
        <v>1020</v>
      </c>
    </row>
    <row r="605" spans="1:4" ht="13.05" customHeight="1" x14ac:dyDescent="0.3">
      <c r="A605" s="2" t="s">
        <v>213</v>
      </c>
      <c r="B605" s="2" t="s">
        <v>1014</v>
      </c>
      <c r="C605" s="5" t="s">
        <v>1021</v>
      </c>
      <c r="D605" s="2" t="s">
        <v>1106</v>
      </c>
    </row>
    <row r="606" spans="1:4" ht="13.05" customHeight="1" x14ac:dyDescent="0.3">
      <c r="A606" s="2" t="s">
        <v>213</v>
      </c>
      <c r="B606" s="2" t="s">
        <v>1014</v>
      </c>
      <c r="C606" s="5" t="s">
        <v>1023</v>
      </c>
      <c r="D606" s="2" t="s">
        <v>1198</v>
      </c>
    </row>
    <row r="607" spans="1:4" ht="13.05" customHeight="1" x14ac:dyDescent="0.3">
      <c r="A607" s="2" t="s">
        <v>216</v>
      </c>
      <c r="B607" s="2" t="s">
        <v>1033</v>
      </c>
      <c r="C607" s="5" t="s">
        <v>1044</v>
      </c>
      <c r="D607" s="2" t="s">
        <v>1045</v>
      </c>
    </row>
    <row r="608" spans="1:4" ht="13.05" customHeight="1" x14ac:dyDescent="0.3">
      <c r="A608" s="2" t="s">
        <v>216</v>
      </c>
      <c r="B608" s="2" t="s">
        <v>1033</v>
      </c>
      <c r="C608" s="5" t="s">
        <v>1219</v>
      </c>
      <c r="D608" s="2" t="s">
        <v>1220</v>
      </c>
    </row>
    <row r="609" spans="1:4" ht="13.05" customHeight="1" x14ac:dyDescent="0.3">
      <c r="A609" s="2" t="s">
        <v>216</v>
      </c>
      <c r="B609" s="2" t="s">
        <v>1033</v>
      </c>
      <c r="C609" s="5" t="s">
        <v>1029</v>
      </c>
      <c r="D609" s="2" t="s">
        <v>1221</v>
      </c>
    </row>
    <row r="610" spans="1:4" ht="13.05" customHeight="1" x14ac:dyDescent="0.3">
      <c r="A610" s="2" t="s">
        <v>216</v>
      </c>
      <c r="B610" s="2" t="s">
        <v>1033</v>
      </c>
      <c r="C610" s="5" t="s">
        <v>1222</v>
      </c>
      <c r="D610" s="2" t="s">
        <v>1223</v>
      </c>
    </row>
    <row r="611" spans="1:4" ht="13.05" customHeight="1" x14ac:dyDescent="0.3">
      <c r="A611" s="2" t="s">
        <v>216</v>
      </c>
      <c r="B611" s="2" t="s">
        <v>1033</v>
      </c>
      <c r="C611" s="5" t="s">
        <v>1224</v>
      </c>
      <c r="D611" s="2" t="s">
        <v>1225</v>
      </c>
    </row>
    <row r="612" spans="1:4" ht="13.05" customHeight="1" x14ac:dyDescent="0.3">
      <c r="A612" s="2" t="s">
        <v>216</v>
      </c>
      <c r="B612" s="2" t="s">
        <v>1033</v>
      </c>
      <c r="C612" s="5" t="s">
        <v>1226</v>
      </c>
      <c r="D612" s="2" t="s">
        <v>1227</v>
      </c>
    </row>
    <row r="613" spans="1:4" ht="13.05" customHeight="1" x14ac:dyDescent="0.3">
      <c r="A613" s="2" t="s">
        <v>216</v>
      </c>
      <c r="B613" s="2" t="s">
        <v>1033</v>
      </c>
      <c r="C613" s="5" t="s">
        <v>1228</v>
      </c>
      <c r="D613" s="2" t="s">
        <v>1229</v>
      </c>
    </row>
    <row r="614" spans="1:4" ht="13.05" customHeight="1" x14ac:dyDescent="0.3">
      <c r="A614" s="2" t="s">
        <v>216</v>
      </c>
      <c r="B614" s="2" t="s">
        <v>1033</v>
      </c>
      <c r="C614" s="5" t="s">
        <v>1230</v>
      </c>
      <c r="D614" s="2" t="s">
        <v>1231</v>
      </c>
    </row>
    <row r="615" spans="1:4" ht="13.05" customHeight="1" x14ac:dyDescent="0.3">
      <c r="A615" s="2" t="s">
        <v>216</v>
      </c>
      <c r="B615" s="2" t="s">
        <v>1033</v>
      </c>
      <c r="C615" s="5" t="s">
        <v>1232</v>
      </c>
      <c r="D615" s="2" t="s">
        <v>1233</v>
      </c>
    </row>
    <row r="616" spans="1:4" ht="13.05" customHeight="1" x14ac:dyDescent="0.3">
      <c r="A616" s="2" t="s">
        <v>216</v>
      </c>
      <c r="B616" s="2" t="s">
        <v>1033</v>
      </c>
      <c r="C616" s="5" t="s">
        <v>1234</v>
      </c>
      <c r="D616" s="2" t="s">
        <v>1235</v>
      </c>
    </row>
    <row r="617" spans="1:4" ht="13.05" customHeight="1" x14ac:dyDescent="0.3">
      <c r="A617" s="2" t="s">
        <v>216</v>
      </c>
      <c r="B617" s="2" t="s">
        <v>1033</v>
      </c>
      <c r="C617" s="5" t="s">
        <v>1236</v>
      </c>
      <c r="D617" s="2" t="s">
        <v>1237</v>
      </c>
    </row>
    <row r="618" spans="1:4" ht="13.05" customHeight="1" x14ac:dyDescent="0.3">
      <c r="A618" s="2" t="s">
        <v>216</v>
      </c>
      <c r="B618" s="2" t="s">
        <v>1033</v>
      </c>
      <c r="C618" s="5" t="s">
        <v>1238</v>
      </c>
      <c r="D618" s="2" t="s">
        <v>1239</v>
      </c>
    </row>
    <row r="619" spans="1:4" ht="13.05" customHeight="1" x14ac:dyDescent="0.3">
      <c r="A619" s="2" t="s">
        <v>218</v>
      </c>
      <c r="B619" s="2" t="s">
        <v>1033</v>
      </c>
      <c r="C619" s="5" t="s">
        <v>1044</v>
      </c>
      <c r="D619" s="2" t="s">
        <v>1045</v>
      </c>
    </row>
    <row r="620" spans="1:4" ht="13.05" customHeight="1" x14ac:dyDescent="0.3">
      <c r="A620" s="2" t="s">
        <v>220</v>
      </c>
      <c r="B620" s="2" t="s">
        <v>1033</v>
      </c>
      <c r="C620" s="5" t="s">
        <v>1228</v>
      </c>
      <c r="D620" s="2" t="s">
        <v>1240</v>
      </c>
    </row>
    <row r="621" spans="1:4" ht="13.05" customHeight="1" x14ac:dyDescent="0.3">
      <c r="A621" s="2" t="s">
        <v>220</v>
      </c>
      <c r="B621" s="2" t="s">
        <v>1033</v>
      </c>
      <c r="C621" s="5" t="s">
        <v>1241</v>
      </c>
      <c r="D621" s="2" t="s">
        <v>1242</v>
      </c>
    </row>
    <row r="622" spans="1:4" ht="13.05" customHeight="1" x14ac:dyDescent="0.3">
      <c r="A622" s="2" t="s">
        <v>220</v>
      </c>
      <c r="B622" s="2" t="s">
        <v>1033</v>
      </c>
      <c r="C622" s="5" t="s">
        <v>1243</v>
      </c>
      <c r="D622" s="2" t="s">
        <v>1244</v>
      </c>
    </row>
    <row r="623" spans="1:4" ht="13.05" customHeight="1" x14ac:dyDescent="0.3">
      <c r="A623" s="2" t="s">
        <v>220</v>
      </c>
      <c r="B623" s="2" t="s">
        <v>1033</v>
      </c>
      <c r="C623" s="5" t="s">
        <v>1245</v>
      </c>
      <c r="D623" s="2" t="s">
        <v>1246</v>
      </c>
    </row>
    <row r="624" spans="1:4" ht="13.05" customHeight="1" x14ac:dyDescent="0.3">
      <c r="A624" s="2" t="s">
        <v>220</v>
      </c>
      <c r="B624" s="2" t="s">
        <v>1033</v>
      </c>
      <c r="C624" s="5" t="s">
        <v>1247</v>
      </c>
      <c r="D624" s="2" t="s">
        <v>1248</v>
      </c>
    </row>
    <row r="625" spans="1:4" ht="13.05" customHeight="1" x14ac:dyDescent="0.3">
      <c r="A625" s="2" t="s">
        <v>220</v>
      </c>
      <c r="B625" s="2" t="s">
        <v>1033</v>
      </c>
      <c r="C625" s="5" t="s">
        <v>1249</v>
      </c>
      <c r="D625" s="2" t="s">
        <v>1250</v>
      </c>
    </row>
    <row r="626" spans="1:4" ht="13.05" customHeight="1" x14ac:dyDescent="0.3">
      <c r="A626" s="2" t="s">
        <v>220</v>
      </c>
      <c r="B626" s="2" t="s">
        <v>1033</v>
      </c>
      <c r="C626" s="5" t="s">
        <v>1251</v>
      </c>
      <c r="D626" s="2" t="s">
        <v>1252</v>
      </c>
    </row>
    <row r="627" spans="1:4" ht="13.05" customHeight="1" x14ac:dyDescent="0.3">
      <c r="A627" s="2" t="s">
        <v>220</v>
      </c>
      <c r="B627" s="2" t="s">
        <v>1033</v>
      </c>
      <c r="C627" s="5" t="s">
        <v>1253</v>
      </c>
      <c r="D627" s="2" t="s">
        <v>1254</v>
      </c>
    </row>
    <row r="628" spans="1:4" ht="13.05" customHeight="1" x14ac:dyDescent="0.3">
      <c r="A628" s="2" t="s">
        <v>224</v>
      </c>
      <c r="B628" s="2" t="s">
        <v>1033</v>
      </c>
      <c r="C628" s="5" t="s">
        <v>1228</v>
      </c>
      <c r="D628" s="2" t="s">
        <v>1240</v>
      </c>
    </row>
    <row r="629" spans="1:4" ht="13.05" customHeight="1" x14ac:dyDescent="0.3">
      <c r="A629" s="2" t="s">
        <v>224</v>
      </c>
      <c r="B629" s="2" t="s">
        <v>1033</v>
      </c>
      <c r="C629" s="5" t="s">
        <v>1241</v>
      </c>
      <c r="D629" s="2" t="s">
        <v>1242</v>
      </c>
    </row>
    <row r="630" spans="1:4" ht="13.05" customHeight="1" x14ac:dyDescent="0.3">
      <c r="A630" s="2" t="s">
        <v>224</v>
      </c>
      <c r="B630" s="2" t="s">
        <v>1033</v>
      </c>
      <c r="C630" s="5" t="s">
        <v>1243</v>
      </c>
      <c r="D630" s="2" t="s">
        <v>1244</v>
      </c>
    </row>
    <row r="631" spans="1:4" ht="13.05" customHeight="1" x14ac:dyDescent="0.3">
      <c r="A631" s="2" t="s">
        <v>224</v>
      </c>
      <c r="B631" s="2" t="s">
        <v>1033</v>
      </c>
      <c r="C631" s="5" t="s">
        <v>1245</v>
      </c>
      <c r="D631" s="2" t="s">
        <v>1246</v>
      </c>
    </row>
    <row r="632" spans="1:4" ht="13.05" customHeight="1" x14ac:dyDescent="0.3">
      <c r="A632" s="2" t="s">
        <v>224</v>
      </c>
      <c r="B632" s="2" t="s">
        <v>1033</v>
      </c>
      <c r="C632" s="5" t="s">
        <v>1247</v>
      </c>
      <c r="D632" s="2" t="s">
        <v>1248</v>
      </c>
    </row>
    <row r="633" spans="1:4" ht="13.05" customHeight="1" x14ac:dyDescent="0.3">
      <c r="A633" s="2" t="s">
        <v>224</v>
      </c>
      <c r="B633" s="2" t="s">
        <v>1033</v>
      </c>
      <c r="C633" s="5" t="s">
        <v>1249</v>
      </c>
      <c r="D633" s="2" t="s">
        <v>1250</v>
      </c>
    </row>
    <row r="634" spans="1:4" ht="13.05" customHeight="1" x14ac:dyDescent="0.3">
      <c r="A634" s="2" t="s">
        <v>224</v>
      </c>
      <c r="B634" s="2" t="s">
        <v>1033</v>
      </c>
      <c r="C634" s="5" t="s">
        <v>1251</v>
      </c>
      <c r="D634" s="2" t="s">
        <v>1252</v>
      </c>
    </row>
    <row r="635" spans="1:4" ht="13.05" customHeight="1" x14ac:dyDescent="0.3">
      <c r="A635" s="2" t="s">
        <v>224</v>
      </c>
      <c r="B635" s="2" t="s">
        <v>1033</v>
      </c>
      <c r="C635" s="5" t="s">
        <v>1253</v>
      </c>
      <c r="D635" s="2" t="s">
        <v>1254</v>
      </c>
    </row>
    <row r="636" spans="1:4" ht="13.05" customHeight="1" x14ac:dyDescent="0.3">
      <c r="A636" s="2" t="s">
        <v>228</v>
      </c>
      <c r="B636" s="2" t="s">
        <v>1014</v>
      </c>
      <c r="C636" s="5" t="s">
        <v>1044</v>
      </c>
      <c r="D636" s="2" t="s">
        <v>1045</v>
      </c>
    </row>
    <row r="637" spans="1:4" ht="13.05" customHeight="1" x14ac:dyDescent="0.3">
      <c r="A637" s="2" t="s">
        <v>228</v>
      </c>
      <c r="B637" s="2" t="s">
        <v>1014</v>
      </c>
      <c r="C637" s="5" t="s">
        <v>1015</v>
      </c>
      <c r="D637" s="2" t="s">
        <v>1016</v>
      </c>
    </row>
    <row r="638" spans="1:4" ht="13.05" customHeight="1" x14ac:dyDescent="0.3">
      <c r="A638" s="2" t="s">
        <v>228</v>
      </c>
      <c r="B638" s="2" t="s">
        <v>1014</v>
      </c>
      <c r="C638" s="5" t="s">
        <v>1017</v>
      </c>
      <c r="D638" s="2" t="s">
        <v>1086</v>
      </c>
    </row>
    <row r="639" spans="1:4" ht="13.05" customHeight="1" x14ac:dyDescent="0.3">
      <c r="A639" s="2" t="s">
        <v>228</v>
      </c>
      <c r="B639" s="2" t="s">
        <v>1014</v>
      </c>
      <c r="C639" s="5" t="s">
        <v>1021</v>
      </c>
      <c r="D639" s="2" t="s">
        <v>1255</v>
      </c>
    </row>
    <row r="640" spans="1:4" ht="13.05" customHeight="1" x14ac:dyDescent="0.3">
      <c r="A640" s="2" t="s">
        <v>228</v>
      </c>
      <c r="B640" s="2" t="s">
        <v>1014</v>
      </c>
      <c r="C640" s="5" t="s">
        <v>1023</v>
      </c>
      <c r="D640" s="2" t="s">
        <v>1256</v>
      </c>
    </row>
    <row r="641" spans="1:4" ht="13.05" customHeight="1" x14ac:dyDescent="0.3">
      <c r="A641" s="2" t="s">
        <v>228</v>
      </c>
      <c r="B641" s="2" t="s">
        <v>1014</v>
      </c>
      <c r="C641" s="5" t="s">
        <v>1025</v>
      </c>
      <c r="D641" s="2" t="s">
        <v>1257</v>
      </c>
    </row>
    <row r="642" spans="1:4" ht="13.05" customHeight="1" x14ac:dyDescent="0.3">
      <c r="A642" s="2" t="s">
        <v>228</v>
      </c>
      <c r="B642" s="2" t="s">
        <v>1014</v>
      </c>
      <c r="C642" s="5" t="s">
        <v>1027</v>
      </c>
      <c r="D642" s="2" t="s">
        <v>1258</v>
      </c>
    </row>
    <row r="643" spans="1:4" ht="13.05" customHeight="1" x14ac:dyDescent="0.3">
      <c r="A643" s="2" t="s">
        <v>228</v>
      </c>
      <c r="B643" s="2" t="s">
        <v>1014</v>
      </c>
      <c r="C643" s="5" t="s">
        <v>1029</v>
      </c>
      <c r="D643" s="2" t="s">
        <v>1259</v>
      </c>
    </row>
    <row r="644" spans="1:4" ht="13.05" customHeight="1" x14ac:dyDescent="0.3">
      <c r="A644" s="2" t="s">
        <v>231</v>
      </c>
      <c r="B644" s="2" t="s">
        <v>1054</v>
      </c>
      <c r="C644" s="5" t="s">
        <v>1044</v>
      </c>
      <c r="D644" s="2" t="s">
        <v>1045</v>
      </c>
    </row>
    <row r="645" spans="1:4" ht="13.05" customHeight="1" x14ac:dyDescent="0.3">
      <c r="A645" s="2" t="s">
        <v>231</v>
      </c>
      <c r="B645" s="2" t="s">
        <v>1054</v>
      </c>
      <c r="C645" s="5" t="s">
        <v>1015</v>
      </c>
      <c r="D645" s="2" t="s">
        <v>1092</v>
      </c>
    </row>
    <row r="646" spans="1:4" ht="13.05" customHeight="1" x14ac:dyDescent="0.3">
      <c r="A646" s="2" t="s">
        <v>231</v>
      </c>
      <c r="B646" s="2" t="s">
        <v>1054</v>
      </c>
      <c r="C646" s="5" t="s">
        <v>1017</v>
      </c>
      <c r="D646" s="2" t="s">
        <v>1086</v>
      </c>
    </row>
    <row r="647" spans="1:4" ht="13.05" customHeight="1" x14ac:dyDescent="0.3">
      <c r="A647" s="2" t="s">
        <v>231</v>
      </c>
      <c r="B647" s="2" t="s">
        <v>1054</v>
      </c>
      <c r="C647" s="5" t="s">
        <v>1019</v>
      </c>
      <c r="D647" s="2" t="s">
        <v>1020</v>
      </c>
    </row>
    <row r="648" spans="1:4" ht="13.05" customHeight="1" x14ac:dyDescent="0.3">
      <c r="A648" s="2" t="s">
        <v>231</v>
      </c>
      <c r="B648" s="2" t="s">
        <v>1054</v>
      </c>
      <c r="C648" s="5" t="s">
        <v>1021</v>
      </c>
      <c r="D648" s="2" t="s">
        <v>1260</v>
      </c>
    </row>
    <row r="649" spans="1:4" ht="13.05" customHeight="1" x14ac:dyDescent="0.3">
      <c r="A649" s="2" t="s">
        <v>231</v>
      </c>
      <c r="B649" s="2" t="s">
        <v>1054</v>
      </c>
      <c r="C649" s="5" t="s">
        <v>1023</v>
      </c>
      <c r="D649" s="2" t="s">
        <v>1261</v>
      </c>
    </row>
    <row r="650" spans="1:4" ht="13.05" customHeight="1" x14ac:dyDescent="0.3">
      <c r="A650" s="2" t="s">
        <v>231</v>
      </c>
      <c r="B650" s="2" t="s">
        <v>1054</v>
      </c>
      <c r="C650" s="5" t="s">
        <v>1025</v>
      </c>
      <c r="D650" s="2" t="s">
        <v>1262</v>
      </c>
    </row>
    <row r="651" spans="1:4" ht="13.05" customHeight="1" x14ac:dyDescent="0.3">
      <c r="A651" s="2" t="s">
        <v>231</v>
      </c>
      <c r="B651" s="2" t="s">
        <v>1054</v>
      </c>
      <c r="C651" s="5" t="s">
        <v>1027</v>
      </c>
      <c r="D651" s="2" t="s">
        <v>1263</v>
      </c>
    </row>
    <row r="652" spans="1:4" ht="13.05" customHeight="1" x14ac:dyDescent="0.3">
      <c r="A652" s="2" t="s">
        <v>231</v>
      </c>
      <c r="B652" s="2" t="s">
        <v>1054</v>
      </c>
      <c r="C652" s="5" t="s">
        <v>1052</v>
      </c>
      <c r="D652" s="2" t="s">
        <v>1218</v>
      </c>
    </row>
    <row r="653" spans="1:4" ht="13.05" customHeight="1" x14ac:dyDescent="0.3">
      <c r="A653" s="2" t="s">
        <v>234</v>
      </c>
      <c r="B653" s="2" t="s">
        <v>1054</v>
      </c>
      <c r="C653" s="5" t="s">
        <v>1019</v>
      </c>
      <c r="D653" s="2" t="s">
        <v>1020</v>
      </c>
    </row>
    <row r="654" spans="1:4" ht="13.05" customHeight="1" x14ac:dyDescent="0.3">
      <c r="A654" s="2" t="s">
        <v>237</v>
      </c>
      <c r="B654" s="2" t="s">
        <v>1033</v>
      </c>
      <c r="C654" s="5" t="s">
        <v>1264</v>
      </c>
      <c r="D654" s="2" t="s">
        <v>1265</v>
      </c>
    </row>
    <row r="655" spans="1:4" ht="13.05" customHeight="1" x14ac:dyDescent="0.3">
      <c r="A655" s="2" t="s">
        <v>237</v>
      </c>
      <c r="B655" s="2" t="s">
        <v>1033</v>
      </c>
      <c r="C655" s="5" t="s">
        <v>1266</v>
      </c>
      <c r="D655" s="2" t="s">
        <v>1267</v>
      </c>
    </row>
    <row r="656" spans="1:4" ht="13.05" customHeight="1" x14ac:dyDescent="0.3">
      <c r="A656" s="2" t="s">
        <v>237</v>
      </c>
      <c r="B656" s="2" t="s">
        <v>1033</v>
      </c>
      <c r="C656" s="5" t="s">
        <v>1268</v>
      </c>
      <c r="D656" s="2" t="s">
        <v>1269</v>
      </c>
    </row>
    <row r="657" spans="1:4" ht="13.05" customHeight="1" x14ac:dyDescent="0.3">
      <c r="A657" s="2" t="s">
        <v>237</v>
      </c>
      <c r="B657" s="2" t="s">
        <v>1033</v>
      </c>
      <c r="C657" s="5" t="s">
        <v>1270</v>
      </c>
      <c r="D657" s="2" t="s">
        <v>1271</v>
      </c>
    </row>
    <row r="658" spans="1:4" ht="13.05" customHeight="1" x14ac:dyDescent="0.3">
      <c r="A658" s="2" t="s">
        <v>237</v>
      </c>
      <c r="B658" s="2" t="s">
        <v>1033</v>
      </c>
      <c r="C658" s="5" t="s">
        <v>1272</v>
      </c>
      <c r="D658" s="2" t="s">
        <v>1273</v>
      </c>
    </row>
    <row r="659" spans="1:4" ht="13.05" customHeight="1" x14ac:dyDescent="0.3">
      <c r="A659" s="2" t="s">
        <v>237</v>
      </c>
      <c r="B659" s="2" t="s">
        <v>1033</v>
      </c>
      <c r="C659" s="5" t="s">
        <v>1274</v>
      </c>
      <c r="D659" s="2" t="s">
        <v>1275</v>
      </c>
    </row>
    <row r="660" spans="1:4" ht="13.05" customHeight="1" x14ac:dyDescent="0.3">
      <c r="A660" s="2" t="s">
        <v>237</v>
      </c>
      <c r="B660" s="2" t="s">
        <v>1033</v>
      </c>
      <c r="C660" s="5" t="s">
        <v>1276</v>
      </c>
      <c r="D660" s="2" t="s">
        <v>1277</v>
      </c>
    </row>
    <row r="661" spans="1:4" ht="13.05" customHeight="1" x14ac:dyDescent="0.3">
      <c r="A661" s="2" t="s">
        <v>237</v>
      </c>
      <c r="B661" s="2" t="s">
        <v>1033</v>
      </c>
      <c r="C661" s="5" t="s">
        <v>1278</v>
      </c>
      <c r="D661" s="2" t="s">
        <v>1279</v>
      </c>
    </row>
    <row r="662" spans="1:4" ht="13.05" customHeight="1" x14ac:dyDescent="0.3">
      <c r="A662" s="2" t="s">
        <v>237</v>
      </c>
      <c r="B662" s="2" t="s">
        <v>1033</v>
      </c>
      <c r="C662" s="5" t="s">
        <v>1280</v>
      </c>
      <c r="D662" s="2" t="s">
        <v>1281</v>
      </c>
    </row>
    <row r="663" spans="1:4" ht="13.05" customHeight="1" x14ac:dyDescent="0.3">
      <c r="A663" s="2" t="s">
        <v>237</v>
      </c>
      <c r="B663" s="2" t="s">
        <v>1033</v>
      </c>
      <c r="C663" s="5" t="s">
        <v>1282</v>
      </c>
      <c r="D663" s="2" t="s">
        <v>1283</v>
      </c>
    </row>
    <row r="664" spans="1:4" ht="13.05" customHeight="1" x14ac:dyDescent="0.3">
      <c r="A664" s="2" t="s">
        <v>237</v>
      </c>
      <c r="B664" s="2" t="s">
        <v>1033</v>
      </c>
      <c r="C664" s="5" t="s">
        <v>1284</v>
      </c>
      <c r="D664" s="2" t="s">
        <v>1285</v>
      </c>
    </row>
    <row r="665" spans="1:4" ht="13.05" customHeight="1" x14ac:dyDescent="0.3">
      <c r="A665" s="2" t="s">
        <v>237</v>
      </c>
      <c r="B665" s="2" t="s">
        <v>1033</v>
      </c>
      <c r="C665" s="5" t="s">
        <v>1286</v>
      </c>
      <c r="D665" s="2" t="s">
        <v>1287</v>
      </c>
    </row>
    <row r="666" spans="1:4" ht="13.05" customHeight="1" x14ac:dyDescent="0.3">
      <c r="A666" s="2" t="s">
        <v>237</v>
      </c>
      <c r="B666" s="2" t="s">
        <v>1033</v>
      </c>
      <c r="C666" s="5" t="s">
        <v>1288</v>
      </c>
      <c r="D666" s="2" t="s">
        <v>1289</v>
      </c>
    </row>
    <row r="667" spans="1:4" ht="13.05" customHeight="1" x14ac:dyDescent="0.3">
      <c r="A667" s="2" t="s">
        <v>237</v>
      </c>
      <c r="B667" s="2" t="s">
        <v>1033</v>
      </c>
      <c r="C667" s="5" t="s">
        <v>1290</v>
      </c>
      <c r="D667" s="2" t="s">
        <v>1291</v>
      </c>
    </row>
    <row r="668" spans="1:4" ht="13.05" customHeight="1" x14ac:dyDescent="0.3">
      <c r="A668" s="2" t="s">
        <v>237</v>
      </c>
      <c r="B668" s="2" t="s">
        <v>1033</v>
      </c>
      <c r="C668" s="5" t="s">
        <v>1292</v>
      </c>
      <c r="D668" s="2" t="s">
        <v>1293</v>
      </c>
    </row>
    <row r="669" spans="1:4" ht="13.05" customHeight="1" x14ac:dyDescent="0.3">
      <c r="A669" s="2" t="s">
        <v>237</v>
      </c>
      <c r="B669" s="2" t="s">
        <v>1033</v>
      </c>
      <c r="C669" s="5" t="s">
        <v>1294</v>
      </c>
      <c r="D669" s="2" t="s">
        <v>1295</v>
      </c>
    </row>
    <row r="670" spans="1:4" ht="13.05" customHeight="1" x14ac:dyDescent="0.3">
      <c r="A670" s="2" t="s">
        <v>237</v>
      </c>
      <c r="B670" s="2" t="s">
        <v>1033</v>
      </c>
      <c r="C670" s="5" t="s">
        <v>1296</v>
      </c>
      <c r="D670" s="2" t="s">
        <v>1297</v>
      </c>
    </row>
    <row r="671" spans="1:4" ht="13.05" customHeight="1" x14ac:dyDescent="0.3">
      <c r="A671" s="2" t="s">
        <v>237</v>
      </c>
      <c r="B671" s="2" t="s">
        <v>1033</v>
      </c>
      <c r="C671" s="5" t="s">
        <v>1298</v>
      </c>
      <c r="D671" s="2" t="s">
        <v>1299</v>
      </c>
    </row>
    <row r="672" spans="1:4" ht="13.05" customHeight="1" x14ac:dyDescent="0.3">
      <c r="A672" s="2" t="s">
        <v>237</v>
      </c>
      <c r="B672" s="2" t="s">
        <v>1033</v>
      </c>
      <c r="C672" s="5" t="s">
        <v>1300</v>
      </c>
      <c r="D672" s="2" t="s">
        <v>1301</v>
      </c>
    </row>
    <row r="673" spans="1:4" ht="13.05" customHeight="1" x14ac:dyDescent="0.3">
      <c r="A673" s="2" t="s">
        <v>237</v>
      </c>
      <c r="B673" s="2" t="s">
        <v>1033</v>
      </c>
      <c r="C673" s="5" t="s">
        <v>1302</v>
      </c>
      <c r="D673" s="2" t="s">
        <v>1303</v>
      </c>
    </row>
    <row r="674" spans="1:4" ht="13.05" customHeight="1" x14ac:dyDescent="0.3">
      <c r="A674" s="2" t="s">
        <v>237</v>
      </c>
      <c r="B674" s="2" t="s">
        <v>1033</v>
      </c>
      <c r="C674" s="5" t="s">
        <v>1304</v>
      </c>
      <c r="D674" s="2" t="s">
        <v>1305</v>
      </c>
    </row>
    <row r="675" spans="1:4" ht="13.05" customHeight="1" x14ac:dyDescent="0.3">
      <c r="A675" s="2" t="s">
        <v>237</v>
      </c>
      <c r="B675" s="2" t="s">
        <v>1033</v>
      </c>
      <c r="C675" s="5" t="s">
        <v>1306</v>
      </c>
      <c r="D675" s="2" t="s">
        <v>1307</v>
      </c>
    </row>
    <row r="676" spans="1:4" ht="13.05" customHeight="1" x14ac:dyDescent="0.3">
      <c r="A676" s="2" t="s">
        <v>237</v>
      </c>
      <c r="B676" s="2" t="s">
        <v>1033</v>
      </c>
      <c r="C676" s="5" t="s">
        <v>1308</v>
      </c>
      <c r="D676" s="2" t="s">
        <v>1309</v>
      </c>
    </row>
    <row r="677" spans="1:4" ht="13.05" customHeight="1" x14ac:dyDescent="0.3">
      <c r="A677" s="2" t="s">
        <v>237</v>
      </c>
      <c r="B677" s="2" t="s">
        <v>1033</v>
      </c>
      <c r="C677" s="5" t="s">
        <v>1310</v>
      </c>
      <c r="D677" s="2" t="s">
        <v>1311</v>
      </c>
    </row>
    <row r="678" spans="1:4" ht="13.05" customHeight="1" x14ac:dyDescent="0.3">
      <c r="A678" s="2" t="s">
        <v>237</v>
      </c>
      <c r="B678" s="2" t="s">
        <v>1033</v>
      </c>
      <c r="C678" s="5" t="s">
        <v>1312</v>
      </c>
      <c r="D678" s="2" t="s">
        <v>1313</v>
      </c>
    </row>
    <row r="679" spans="1:4" ht="13.05" customHeight="1" x14ac:dyDescent="0.3">
      <c r="A679" s="2" t="s">
        <v>237</v>
      </c>
      <c r="B679" s="2" t="s">
        <v>1033</v>
      </c>
      <c r="C679" s="5" t="s">
        <v>1314</v>
      </c>
      <c r="D679" s="2" t="s">
        <v>1315</v>
      </c>
    </row>
    <row r="680" spans="1:4" ht="13.05" customHeight="1" x14ac:dyDescent="0.3">
      <c r="A680" s="2" t="s">
        <v>237</v>
      </c>
      <c r="B680" s="2" t="s">
        <v>1033</v>
      </c>
      <c r="C680" s="5" t="s">
        <v>1316</v>
      </c>
      <c r="D680" s="2" t="s">
        <v>1317</v>
      </c>
    </row>
    <row r="681" spans="1:4" ht="13.05" customHeight="1" x14ac:dyDescent="0.3">
      <c r="A681" s="2" t="s">
        <v>237</v>
      </c>
      <c r="B681" s="2" t="s">
        <v>1033</v>
      </c>
      <c r="C681" s="5" t="s">
        <v>1318</v>
      </c>
      <c r="D681" s="2" t="s">
        <v>1319</v>
      </c>
    </row>
    <row r="682" spans="1:4" ht="13.05" customHeight="1" x14ac:dyDescent="0.3">
      <c r="A682" s="2" t="s">
        <v>237</v>
      </c>
      <c r="B682" s="2" t="s">
        <v>1033</v>
      </c>
      <c r="C682" s="5" t="s">
        <v>1320</v>
      </c>
      <c r="D682" s="2" t="s">
        <v>1321</v>
      </c>
    </row>
    <row r="683" spans="1:4" ht="13.05" customHeight="1" x14ac:dyDescent="0.3">
      <c r="A683" s="2" t="s">
        <v>237</v>
      </c>
      <c r="B683" s="2" t="s">
        <v>1033</v>
      </c>
      <c r="C683" s="5" t="s">
        <v>1322</v>
      </c>
      <c r="D683" s="2" t="s">
        <v>1323</v>
      </c>
    </row>
    <row r="684" spans="1:4" ht="13.05" customHeight="1" x14ac:dyDescent="0.3">
      <c r="A684" s="2" t="s">
        <v>237</v>
      </c>
      <c r="B684" s="2" t="s">
        <v>1033</v>
      </c>
      <c r="C684" s="5" t="s">
        <v>1324</v>
      </c>
      <c r="D684" s="2" t="s">
        <v>1325</v>
      </c>
    </row>
    <row r="685" spans="1:4" ht="13.05" customHeight="1" x14ac:dyDescent="0.3">
      <c r="A685" s="2" t="s">
        <v>237</v>
      </c>
      <c r="B685" s="2" t="s">
        <v>1033</v>
      </c>
      <c r="C685" s="5" t="s">
        <v>1326</v>
      </c>
      <c r="D685" s="2" t="s">
        <v>1327</v>
      </c>
    </row>
    <row r="686" spans="1:4" ht="13.05" customHeight="1" x14ac:dyDescent="0.3">
      <c r="A686" s="2" t="s">
        <v>237</v>
      </c>
      <c r="B686" s="2" t="s">
        <v>1033</v>
      </c>
      <c r="C686" s="5" t="s">
        <v>1328</v>
      </c>
      <c r="D686" s="2" t="s">
        <v>1329</v>
      </c>
    </row>
    <row r="687" spans="1:4" ht="13.05" customHeight="1" x14ac:dyDescent="0.3">
      <c r="A687" s="2" t="s">
        <v>237</v>
      </c>
      <c r="B687" s="2" t="s">
        <v>1033</v>
      </c>
      <c r="C687" s="5" t="s">
        <v>1330</v>
      </c>
      <c r="D687" s="2" t="s">
        <v>1331</v>
      </c>
    </row>
    <row r="688" spans="1:4" ht="13.05" customHeight="1" x14ac:dyDescent="0.3">
      <c r="A688" s="2" t="s">
        <v>237</v>
      </c>
      <c r="B688" s="2" t="s">
        <v>1033</v>
      </c>
      <c r="C688" s="5" t="s">
        <v>1332</v>
      </c>
      <c r="D688" s="2" t="s">
        <v>1333</v>
      </c>
    </row>
    <row r="689" spans="1:4" ht="13.05" customHeight="1" x14ac:dyDescent="0.3">
      <c r="A689" s="2" t="s">
        <v>237</v>
      </c>
      <c r="B689" s="2" t="s">
        <v>1033</v>
      </c>
      <c r="C689" s="5" t="s">
        <v>1334</v>
      </c>
      <c r="D689" s="2" t="s">
        <v>1335</v>
      </c>
    </row>
    <row r="690" spans="1:4" ht="13.05" customHeight="1" x14ac:dyDescent="0.3">
      <c r="A690" s="2" t="s">
        <v>237</v>
      </c>
      <c r="B690" s="2" t="s">
        <v>1033</v>
      </c>
      <c r="C690" s="5" t="s">
        <v>1336</v>
      </c>
      <c r="D690" s="2" t="s">
        <v>1337</v>
      </c>
    </row>
    <row r="691" spans="1:4" ht="13.05" customHeight="1" x14ac:dyDescent="0.3">
      <c r="A691" s="2" t="s">
        <v>237</v>
      </c>
      <c r="B691" s="2" t="s">
        <v>1033</v>
      </c>
      <c r="C691" s="5" t="s">
        <v>1338</v>
      </c>
      <c r="D691" s="2" t="s">
        <v>1339</v>
      </c>
    </row>
    <row r="692" spans="1:4" ht="13.05" customHeight="1" x14ac:dyDescent="0.3">
      <c r="A692" s="2" t="s">
        <v>237</v>
      </c>
      <c r="B692" s="2" t="s">
        <v>1033</v>
      </c>
      <c r="C692" s="5" t="s">
        <v>1340</v>
      </c>
      <c r="D692" s="2" t="s">
        <v>1341</v>
      </c>
    </row>
    <row r="693" spans="1:4" ht="13.05" customHeight="1" x14ac:dyDescent="0.3">
      <c r="A693" s="2" t="s">
        <v>237</v>
      </c>
      <c r="B693" s="2" t="s">
        <v>1033</v>
      </c>
      <c r="C693" s="5" t="s">
        <v>1342</v>
      </c>
      <c r="D693" s="2" t="s">
        <v>1343</v>
      </c>
    </row>
    <row r="694" spans="1:4" ht="13.05" customHeight="1" x14ac:dyDescent="0.3">
      <c r="A694" s="2" t="s">
        <v>237</v>
      </c>
      <c r="B694" s="2" t="s">
        <v>1033</v>
      </c>
      <c r="C694" s="5" t="s">
        <v>1344</v>
      </c>
      <c r="D694" s="2" t="s">
        <v>1345</v>
      </c>
    </row>
    <row r="695" spans="1:4" ht="13.05" customHeight="1" x14ac:dyDescent="0.3">
      <c r="A695" s="2" t="s">
        <v>237</v>
      </c>
      <c r="B695" s="2" t="s">
        <v>1033</v>
      </c>
      <c r="C695" s="5" t="s">
        <v>1346</v>
      </c>
      <c r="D695" s="2" t="s">
        <v>1347</v>
      </c>
    </row>
    <row r="696" spans="1:4" ht="13.05" customHeight="1" x14ac:dyDescent="0.3">
      <c r="A696" s="2" t="s">
        <v>237</v>
      </c>
      <c r="B696" s="2" t="s">
        <v>1033</v>
      </c>
      <c r="C696" s="5" t="s">
        <v>1348</v>
      </c>
      <c r="D696" s="2" t="s">
        <v>1349</v>
      </c>
    </row>
    <row r="697" spans="1:4" ht="13.05" customHeight="1" x14ac:dyDescent="0.3">
      <c r="A697" s="2" t="s">
        <v>237</v>
      </c>
      <c r="B697" s="2" t="s">
        <v>1033</v>
      </c>
      <c r="C697" s="5" t="s">
        <v>1350</v>
      </c>
      <c r="D697" s="2" t="s">
        <v>1351</v>
      </c>
    </row>
    <row r="698" spans="1:4" ht="13.05" customHeight="1" x14ac:dyDescent="0.3">
      <c r="A698" s="2" t="s">
        <v>237</v>
      </c>
      <c r="B698" s="2" t="s">
        <v>1033</v>
      </c>
      <c r="C698" s="5" t="s">
        <v>1352</v>
      </c>
      <c r="D698" s="2" t="s">
        <v>1353</v>
      </c>
    </row>
    <row r="699" spans="1:4" ht="13.05" customHeight="1" x14ac:dyDescent="0.3">
      <c r="A699" s="2" t="s">
        <v>237</v>
      </c>
      <c r="B699" s="2" t="s">
        <v>1033</v>
      </c>
      <c r="C699" s="5" t="s">
        <v>1354</v>
      </c>
      <c r="D699" s="2" t="s">
        <v>1355</v>
      </c>
    </row>
    <row r="700" spans="1:4" ht="13.05" customHeight="1" x14ac:dyDescent="0.3">
      <c r="A700" s="2" t="s">
        <v>237</v>
      </c>
      <c r="B700" s="2" t="s">
        <v>1033</v>
      </c>
      <c r="C700" s="5" t="s">
        <v>1356</v>
      </c>
      <c r="D700" s="2" t="s">
        <v>1357</v>
      </c>
    </row>
    <row r="701" spans="1:4" ht="13.05" customHeight="1" x14ac:dyDescent="0.3">
      <c r="A701" s="2" t="s">
        <v>237</v>
      </c>
      <c r="B701" s="2" t="s">
        <v>1033</v>
      </c>
      <c r="C701" s="5" t="s">
        <v>1358</v>
      </c>
      <c r="D701" s="2" t="s">
        <v>1359</v>
      </c>
    </row>
    <row r="702" spans="1:4" ht="13.05" customHeight="1" x14ac:dyDescent="0.3">
      <c r="A702" s="2" t="s">
        <v>237</v>
      </c>
      <c r="B702" s="2" t="s">
        <v>1033</v>
      </c>
      <c r="C702" s="5" t="s">
        <v>1360</v>
      </c>
      <c r="D702" s="2" t="s">
        <v>1361</v>
      </c>
    </row>
    <row r="703" spans="1:4" ht="13.05" customHeight="1" x14ac:dyDescent="0.3">
      <c r="A703" s="2" t="s">
        <v>237</v>
      </c>
      <c r="B703" s="2" t="s">
        <v>1033</v>
      </c>
      <c r="C703" s="5" t="s">
        <v>1362</v>
      </c>
      <c r="D703" s="2" t="s">
        <v>1363</v>
      </c>
    </row>
    <row r="704" spans="1:4" ht="13.05" customHeight="1" x14ac:dyDescent="0.3">
      <c r="A704" s="2" t="s">
        <v>237</v>
      </c>
      <c r="B704" s="2" t="s">
        <v>1033</v>
      </c>
      <c r="C704" s="5" t="s">
        <v>1364</v>
      </c>
      <c r="D704" s="2" t="s">
        <v>1365</v>
      </c>
    </row>
    <row r="705" spans="1:4" ht="13.05" customHeight="1" x14ac:dyDescent="0.3">
      <c r="A705" s="2" t="s">
        <v>237</v>
      </c>
      <c r="B705" s="2" t="s">
        <v>1033</v>
      </c>
      <c r="C705" s="5" t="s">
        <v>1366</v>
      </c>
      <c r="D705" s="2" t="s">
        <v>1367</v>
      </c>
    </row>
    <row r="706" spans="1:4" ht="13.05" customHeight="1" x14ac:dyDescent="0.3">
      <c r="A706" s="2" t="s">
        <v>237</v>
      </c>
      <c r="B706" s="2" t="s">
        <v>1033</v>
      </c>
      <c r="C706" s="5" t="s">
        <v>1368</v>
      </c>
      <c r="D706" s="2" t="s">
        <v>1369</v>
      </c>
    </row>
    <row r="707" spans="1:4" ht="13.05" customHeight="1" x14ac:dyDescent="0.3">
      <c r="A707" s="2" t="s">
        <v>237</v>
      </c>
      <c r="B707" s="2" t="s">
        <v>1033</v>
      </c>
      <c r="C707" s="5" t="s">
        <v>1370</v>
      </c>
      <c r="D707" s="2" t="s">
        <v>1371</v>
      </c>
    </row>
    <row r="708" spans="1:4" ht="13.05" customHeight="1" x14ac:dyDescent="0.3">
      <c r="A708" s="2" t="s">
        <v>237</v>
      </c>
      <c r="B708" s="2" t="s">
        <v>1033</v>
      </c>
      <c r="C708" s="5" t="s">
        <v>1372</v>
      </c>
      <c r="D708" s="2" t="s">
        <v>1373</v>
      </c>
    </row>
    <row r="709" spans="1:4" ht="13.05" customHeight="1" x14ac:dyDescent="0.3">
      <c r="A709" s="2" t="s">
        <v>237</v>
      </c>
      <c r="B709" s="2" t="s">
        <v>1033</v>
      </c>
      <c r="C709" s="5" t="s">
        <v>1374</v>
      </c>
      <c r="D709" s="2" t="s">
        <v>1375</v>
      </c>
    </row>
    <row r="710" spans="1:4" ht="13.05" customHeight="1" x14ac:dyDescent="0.3">
      <c r="A710" s="2" t="s">
        <v>237</v>
      </c>
      <c r="B710" s="2" t="s">
        <v>1033</v>
      </c>
      <c r="C710" s="5" t="s">
        <v>1376</v>
      </c>
      <c r="D710" s="2" t="s">
        <v>1377</v>
      </c>
    </row>
    <row r="711" spans="1:4" ht="13.05" customHeight="1" x14ac:dyDescent="0.3">
      <c r="A711" s="2" t="s">
        <v>237</v>
      </c>
      <c r="B711" s="2" t="s">
        <v>1033</v>
      </c>
      <c r="C711" s="5" t="s">
        <v>1378</v>
      </c>
      <c r="D711" s="2" t="s">
        <v>1379</v>
      </c>
    </row>
    <row r="712" spans="1:4" ht="13.05" customHeight="1" x14ac:dyDescent="0.3">
      <c r="A712" s="2" t="s">
        <v>237</v>
      </c>
      <c r="B712" s="2" t="s">
        <v>1033</v>
      </c>
      <c r="C712" s="5" t="s">
        <v>1380</v>
      </c>
      <c r="D712" s="2" t="s">
        <v>1381</v>
      </c>
    </row>
    <row r="713" spans="1:4" ht="13.05" customHeight="1" x14ac:dyDescent="0.3">
      <c r="A713" s="2" t="s">
        <v>237</v>
      </c>
      <c r="B713" s="2" t="s">
        <v>1033</v>
      </c>
      <c r="C713" s="5" t="s">
        <v>1382</v>
      </c>
      <c r="D713" s="2" t="s">
        <v>1383</v>
      </c>
    </row>
    <row r="714" spans="1:4" ht="13.05" customHeight="1" x14ac:dyDescent="0.3">
      <c r="A714" s="2" t="s">
        <v>237</v>
      </c>
      <c r="B714" s="2" t="s">
        <v>1033</v>
      </c>
      <c r="C714" s="5" t="s">
        <v>1384</v>
      </c>
      <c r="D714" s="2" t="s">
        <v>1385</v>
      </c>
    </row>
    <row r="715" spans="1:4" ht="13.05" customHeight="1" x14ac:dyDescent="0.3">
      <c r="A715" s="2" t="s">
        <v>237</v>
      </c>
      <c r="B715" s="2" t="s">
        <v>1033</v>
      </c>
      <c r="C715" s="5" t="s">
        <v>1386</v>
      </c>
      <c r="D715" s="2" t="s">
        <v>1387</v>
      </c>
    </row>
    <row r="716" spans="1:4" ht="13.05" customHeight="1" x14ac:dyDescent="0.3">
      <c r="A716" s="2" t="s">
        <v>237</v>
      </c>
      <c r="B716" s="2" t="s">
        <v>1033</v>
      </c>
      <c r="C716" s="5" t="s">
        <v>1388</v>
      </c>
      <c r="D716" s="2" t="s">
        <v>1389</v>
      </c>
    </row>
    <row r="717" spans="1:4" ht="13.05" customHeight="1" x14ac:dyDescent="0.3">
      <c r="A717" s="2" t="s">
        <v>237</v>
      </c>
      <c r="B717" s="2" t="s">
        <v>1033</v>
      </c>
      <c r="C717" s="5" t="s">
        <v>1390</v>
      </c>
      <c r="D717" s="2" t="s">
        <v>1391</v>
      </c>
    </row>
    <row r="718" spans="1:4" ht="13.05" customHeight="1" x14ac:dyDescent="0.3">
      <c r="A718" s="2" t="s">
        <v>237</v>
      </c>
      <c r="B718" s="2" t="s">
        <v>1033</v>
      </c>
      <c r="C718" s="5" t="s">
        <v>1392</v>
      </c>
      <c r="D718" s="2" t="s">
        <v>1393</v>
      </c>
    </row>
    <row r="719" spans="1:4" ht="13.05" customHeight="1" x14ac:dyDescent="0.3">
      <c r="A719" s="2" t="s">
        <v>237</v>
      </c>
      <c r="B719" s="2" t="s">
        <v>1033</v>
      </c>
      <c r="C719" s="5" t="s">
        <v>1394</v>
      </c>
      <c r="D719" s="2" t="s">
        <v>1395</v>
      </c>
    </row>
    <row r="720" spans="1:4" ht="13.05" customHeight="1" x14ac:dyDescent="0.3">
      <c r="A720" s="2" t="s">
        <v>237</v>
      </c>
      <c r="B720" s="2" t="s">
        <v>1033</v>
      </c>
      <c r="C720" s="5" t="s">
        <v>1396</v>
      </c>
      <c r="D720" s="2" t="s">
        <v>1397</v>
      </c>
    </row>
    <row r="721" spans="1:4" ht="13.05" customHeight="1" x14ac:dyDescent="0.3">
      <c r="A721" s="2" t="s">
        <v>237</v>
      </c>
      <c r="B721" s="2" t="s">
        <v>1033</v>
      </c>
      <c r="C721" s="5" t="s">
        <v>1398</v>
      </c>
      <c r="D721" s="2" t="s">
        <v>1399</v>
      </c>
    </row>
    <row r="722" spans="1:4" ht="13.05" customHeight="1" x14ac:dyDescent="0.3">
      <c r="A722" s="2" t="s">
        <v>237</v>
      </c>
      <c r="B722" s="2" t="s">
        <v>1033</v>
      </c>
      <c r="C722" s="5" t="s">
        <v>1400</v>
      </c>
      <c r="D722" s="2" t="s">
        <v>1401</v>
      </c>
    </row>
    <row r="723" spans="1:4" ht="13.05" customHeight="1" x14ac:dyDescent="0.3">
      <c r="A723" s="2" t="s">
        <v>237</v>
      </c>
      <c r="B723" s="2" t="s">
        <v>1033</v>
      </c>
      <c r="C723" s="5" t="s">
        <v>1402</v>
      </c>
      <c r="D723" s="2" t="s">
        <v>1403</v>
      </c>
    </row>
    <row r="724" spans="1:4" ht="13.05" customHeight="1" x14ac:dyDescent="0.3">
      <c r="A724" s="2" t="s">
        <v>237</v>
      </c>
      <c r="B724" s="2" t="s">
        <v>1033</v>
      </c>
      <c r="C724" s="5" t="s">
        <v>1404</v>
      </c>
      <c r="D724" s="2" t="s">
        <v>1405</v>
      </c>
    </row>
    <row r="725" spans="1:4" ht="13.05" customHeight="1" x14ac:dyDescent="0.3">
      <c r="A725" s="2" t="s">
        <v>237</v>
      </c>
      <c r="B725" s="2" t="s">
        <v>1033</v>
      </c>
      <c r="C725" s="5" t="s">
        <v>1406</v>
      </c>
      <c r="D725" s="2" t="s">
        <v>1407</v>
      </c>
    </row>
    <row r="726" spans="1:4" ht="13.05" customHeight="1" x14ac:dyDescent="0.3">
      <c r="A726" s="2" t="s">
        <v>237</v>
      </c>
      <c r="B726" s="2" t="s">
        <v>1033</v>
      </c>
      <c r="C726" s="5" t="s">
        <v>1408</v>
      </c>
      <c r="D726" s="2" t="s">
        <v>1409</v>
      </c>
    </row>
    <row r="727" spans="1:4" ht="13.05" customHeight="1" x14ac:dyDescent="0.3">
      <c r="A727" s="2" t="s">
        <v>237</v>
      </c>
      <c r="B727" s="2" t="s">
        <v>1033</v>
      </c>
      <c r="C727" s="5" t="s">
        <v>1410</v>
      </c>
      <c r="D727" s="2" t="s">
        <v>1411</v>
      </c>
    </row>
    <row r="728" spans="1:4" ht="13.05" customHeight="1" x14ac:dyDescent="0.3">
      <c r="A728" s="2" t="s">
        <v>237</v>
      </c>
      <c r="B728" s="2" t="s">
        <v>1033</v>
      </c>
      <c r="C728" s="5" t="s">
        <v>1412</v>
      </c>
      <c r="D728" s="2" t="s">
        <v>1413</v>
      </c>
    </row>
    <row r="729" spans="1:4" ht="13.05" customHeight="1" x14ac:dyDescent="0.3">
      <c r="A729" s="2" t="s">
        <v>237</v>
      </c>
      <c r="B729" s="2" t="s">
        <v>1033</v>
      </c>
      <c r="C729" s="5" t="s">
        <v>1414</v>
      </c>
      <c r="D729" s="2" t="s">
        <v>1415</v>
      </c>
    </row>
    <row r="730" spans="1:4" ht="13.05" customHeight="1" x14ac:dyDescent="0.3">
      <c r="A730" s="2" t="s">
        <v>237</v>
      </c>
      <c r="B730" s="2" t="s">
        <v>1033</v>
      </c>
      <c r="C730" s="5" t="s">
        <v>1416</v>
      </c>
      <c r="D730" s="2" t="s">
        <v>1417</v>
      </c>
    </row>
    <row r="731" spans="1:4" ht="13.05" customHeight="1" x14ac:dyDescent="0.3">
      <c r="A731" s="2" t="s">
        <v>237</v>
      </c>
      <c r="B731" s="2" t="s">
        <v>1033</v>
      </c>
      <c r="C731" s="5" t="s">
        <v>1418</v>
      </c>
      <c r="D731" s="2" t="s">
        <v>1419</v>
      </c>
    </row>
    <row r="732" spans="1:4" ht="13.05" customHeight="1" x14ac:dyDescent="0.3">
      <c r="A732" s="2" t="s">
        <v>237</v>
      </c>
      <c r="B732" s="2" t="s">
        <v>1033</v>
      </c>
      <c r="C732" s="5" t="s">
        <v>1420</v>
      </c>
      <c r="D732" s="2" t="s">
        <v>1421</v>
      </c>
    </row>
    <row r="733" spans="1:4" ht="13.05" customHeight="1" x14ac:dyDescent="0.3">
      <c r="A733" s="2" t="s">
        <v>237</v>
      </c>
      <c r="B733" s="2" t="s">
        <v>1033</v>
      </c>
      <c r="C733" s="5" t="s">
        <v>1422</v>
      </c>
      <c r="D733" s="2" t="s">
        <v>1423</v>
      </c>
    </row>
    <row r="734" spans="1:4" ht="13.05" customHeight="1" x14ac:dyDescent="0.3">
      <c r="A734" s="2" t="s">
        <v>237</v>
      </c>
      <c r="B734" s="2" t="s">
        <v>1033</v>
      </c>
      <c r="C734" s="5" t="s">
        <v>1424</v>
      </c>
      <c r="D734" s="2" t="s">
        <v>1425</v>
      </c>
    </row>
    <row r="735" spans="1:4" ht="13.05" customHeight="1" x14ac:dyDescent="0.3">
      <c r="A735" s="2" t="s">
        <v>237</v>
      </c>
      <c r="B735" s="2" t="s">
        <v>1033</v>
      </c>
      <c r="C735" s="5" t="s">
        <v>1426</v>
      </c>
      <c r="D735" s="2" t="s">
        <v>1427</v>
      </c>
    </row>
    <row r="736" spans="1:4" ht="13.05" customHeight="1" x14ac:dyDescent="0.3">
      <c r="A736" s="2" t="s">
        <v>237</v>
      </c>
      <c r="B736" s="2" t="s">
        <v>1033</v>
      </c>
      <c r="C736" s="5" t="s">
        <v>1428</v>
      </c>
      <c r="D736" s="2" t="s">
        <v>1429</v>
      </c>
    </row>
    <row r="737" spans="1:4" ht="13.05" customHeight="1" x14ac:dyDescent="0.3">
      <c r="A737" s="2" t="s">
        <v>237</v>
      </c>
      <c r="B737" s="2" t="s">
        <v>1033</v>
      </c>
      <c r="C737" s="5" t="s">
        <v>1430</v>
      </c>
      <c r="D737" s="2" t="s">
        <v>1431</v>
      </c>
    </row>
    <row r="738" spans="1:4" ht="13.05" customHeight="1" x14ac:dyDescent="0.3">
      <c r="A738" s="2" t="s">
        <v>237</v>
      </c>
      <c r="B738" s="2" t="s">
        <v>1033</v>
      </c>
      <c r="C738" s="5" t="s">
        <v>1432</v>
      </c>
      <c r="D738" s="2" t="s">
        <v>1433</v>
      </c>
    </row>
    <row r="739" spans="1:4" ht="13.05" customHeight="1" x14ac:dyDescent="0.3">
      <c r="A739" s="2" t="s">
        <v>237</v>
      </c>
      <c r="B739" s="2" t="s">
        <v>1033</v>
      </c>
      <c r="C739" s="5" t="s">
        <v>1434</v>
      </c>
      <c r="D739" s="2" t="s">
        <v>1435</v>
      </c>
    </row>
    <row r="740" spans="1:4" ht="13.05" customHeight="1" x14ac:dyDescent="0.3">
      <c r="A740" s="2" t="s">
        <v>237</v>
      </c>
      <c r="B740" s="2" t="s">
        <v>1033</v>
      </c>
      <c r="C740" s="5" t="s">
        <v>1436</v>
      </c>
      <c r="D740" s="2" t="s">
        <v>1437</v>
      </c>
    </row>
    <row r="741" spans="1:4" ht="13.05" customHeight="1" x14ac:dyDescent="0.3">
      <c r="A741" s="2" t="s">
        <v>237</v>
      </c>
      <c r="B741" s="2" t="s">
        <v>1033</v>
      </c>
      <c r="C741" s="5" t="s">
        <v>1438</v>
      </c>
      <c r="D741" s="2" t="s">
        <v>1439</v>
      </c>
    </row>
    <row r="742" spans="1:4" ht="13.05" customHeight="1" x14ac:dyDescent="0.3">
      <c r="A742" s="2" t="s">
        <v>237</v>
      </c>
      <c r="B742" s="2" t="s">
        <v>1033</v>
      </c>
      <c r="C742" s="5" t="s">
        <v>1440</v>
      </c>
      <c r="D742" s="2" t="s">
        <v>1441</v>
      </c>
    </row>
    <row r="743" spans="1:4" ht="13.05" customHeight="1" x14ac:dyDescent="0.3">
      <c r="A743" s="2" t="s">
        <v>237</v>
      </c>
      <c r="B743" s="2" t="s">
        <v>1033</v>
      </c>
      <c r="C743" s="5" t="s">
        <v>1442</v>
      </c>
      <c r="D743" s="2" t="s">
        <v>1443</v>
      </c>
    </row>
    <row r="744" spans="1:4" ht="13.05" customHeight="1" x14ac:dyDescent="0.3">
      <c r="A744" s="2" t="s">
        <v>237</v>
      </c>
      <c r="B744" s="2" t="s">
        <v>1033</v>
      </c>
      <c r="C744" s="5" t="s">
        <v>1444</v>
      </c>
      <c r="D744" s="2" t="s">
        <v>1445</v>
      </c>
    </row>
    <row r="745" spans="1:4" ht="13.05" customHeight="1" x14ac:dyDescent="0.3">
      <c r="A745" s="2" t="s">
        <v>237</v>
      </c>
      <c r="B745" s="2" t="s">
        <v>1033</v>
      </c>
      <c r="C745" s="5" t="s">
        <v>1446</v>
      </c>
      <c r="D745" s="2" t="s">
        <v>1447</v>
      </c>
    </row>
    <row r="746" spans="1:4" ht="13.05" customHeight="1" x14ac:dyDescent="0.3">
      <c r="A746" s="2" t="s">
        <v>237</v>
      </c>
      <c r="B746" s="2" t="s">
        <v>1033</v>
      </c>
      <c r="C746" s="5" t="s">
        <v>1448</v>
      </c>
      <c r="D746" s="2" t="s">
        <v>1449</v>
      </c>
    </row>
    <row r="747" spans="1:4" ht="13.05" customHeight="1" x14ac:dyDescent="0.3">
      <c r="A747" s="2" t="s">
        <v>237</v>
      </c>
      <c r="B747" s="2" t="s">
        <v>1033</v>
      </c>
      <c r="C747" s="5" t="s">
        <v>1450</v>
      </c>
      <c r="D747" s="2" t="s">
        <v>1451</v>
      </c>
    </row>
    <row r="748" spans="1:4" ht="13.05" customHeight="1" x14ac:dyDescent="0.3">
      <c r="A748" s="2" t="s">
        <v>237</v>
      </c>
      <c r="B748" s="2" t="s">
        <v>1033</v>
      </c>
      <c r="C748" s="5" t="s">
        <v>1452</v>
      </c>
      <c r="D748" s="2" t="s">
        <v>1453</v>
      </c>
    </row>
    <row r="749" spans="1:4" ht="13.05" customHeight="1" x14ac:dyDescent="0.3">
      <c r="A749" s="2" t="s">
        <v>237</v>
      </c>
      <c r="B749" s="2" t="s">
        <v>1033</v>
      </c>
      <c r="C749" s="5" t="s">
        <v>1454</v>
      </c>
      <c r="D749" s="2" t="s">
        <v>1455</v>
      </c>
    </row>
    <row r="750" spans="1:4" ht="13.05" customHeight="1" x14ac:dyDescent="0.3">
      <c r="A750" s="2" t="s">
        <v>237</v>
      </c>
      <c r="B750" s="2" t="s">
        <v>1033</v>
      </c>
      <c r="C750" s="5" t="s">
        <v>1456</v>
      </c>
      <c r="D750" s="2" t="s">
        <v>1457</v>
      </c>
    </row>
    <row r="751" spans="1:4" ht="13.05" customHeight="1" x14ac:dyDescent="0.3">
      <c r="A751" s="2" t="s">
        <v>237</v>
      </c>
      <c r="B751" s="2" t="s">
        <v>1033</v>
      </c>
      <c r="C751" s="5" t="s">
        <v>1458</v>
      </c>
      <c r="D751" s="2" t="s">
        <v>1459</v>
      </c>
    </row>
    <row r="752" spans="1:4" ht="13.05" customHeight="1" x14ac:dyDescent="0.3">
      <c r="A752" s="2" t="s">
        <v>237</v>
      </c>
      <c r="B752" s="2" t="s">
        <v>1033</v>
      </c>
      <c r="C752" s="5" t="s">
        <v>1460</v>
      </c>
      <c r="D752" s="2" t="s">
        <v>1461</v>
      </c>
    </row>
    <row r="753" spans="1:4" ht="13.05" customHeight="1" x14ac:dyDescent="0.3">
      <c r="A753" s="2" t="s">
        <v>237</v>
      </c>
      <c r="B753" s="2" t="s">
        <v>1033</v>
      </c>
      <c r="C753" s="5" t="s">
        <v>1462</v>
      </c>
      <c r="D753" s="2" t="s">
        <v>1463</v>
      </c>
    </row>
    <row r="754" spans="1:4" ht="13.05" customHeight="1" x14ac:dyDescent="0.3">
      <c r="A754" s="2" t="s">
        <v>237</v>
      </c>
      <c r="B754" s="2" t="s">
        <v>1033</v>
      </c>
      <c r="C754" s="5" t="s">
        <v>1464</v>
      </c>
      <c r="D754" s="2" t="s">
        <v>1465</v>
      </c>
    </row>
    <row r="755" spans="1:4" ht="13.05" customHeight="1" x14ac:dyDescent="0.3">
      <c r="A755" s="2" t="s">
        <v>237</v>
      </c>
      <c r="B755" s="2" t="s">
        <v>1033</v>
      </c>
      <c r="C755" s="5" t="s">
        <v>1466</v>
      </c>
      <c r="D755" s="2" t="s">
        <v>1467</v>
      </c>
    </row>
    <row r="756" spans="1:4" ht="13.05" customHeight="1" x14ac:dyDescent="0.3">
      <c r="A756" s="2" t="s">
        <v>237</v>
      </c>
      <c r="B756" s="2" t="s">
        <v>1033</v>
      </c>
      <c r="C756" s="5" t="s">
        <v>1468</v>
      </c>
      <c r="D756" s="2" t="s">
        <v>1469</v>
      </c>
    </row>
    <row r="757" spans="1:4" ht="13.05" customHeight="1" x14ac:dyDescent="0.3">
      <c r="A757" s="2" t="s">
        <v>237</v>
      </c>
      <c r="B757" s="2" t="s">
        <v>1033</v>
      </c>
      <c r="C757" s="5" t="s">
        <v>1470</v>
      </c>
      <c r="D757" s="2" t="s">
        <v>1471</v>
      </c>
    </row>
    <row r="758" spans="1:4" ht="13.05" customHeight="1" x14ac:dyDescent="0.3">
      <c r="A758" s="2" t="s">
        <v>237</v>
      </c>
      <c r="B758" s="2" t="s">
        <v>1033</v>
      </c>
      <c r="C758" s="5" t="s">
        <v>1472</v>
      </c>
      <c r="D758" s="2" t="s">
        <v>1473</v>
      </c>
    </row>
    <row r="759" spans="1:4" ht="13.05" customHeight="1" x14ac:dyDescent="0.3">
      <c r="A759" s="2" t="s">
        <v>237</v>
      </c>
      <c r="B759" s="2" t="s">
        <v>1033</v>
      </c>
      <c r="C759" s="5" t="s">
        <v>1474</v>
      </c>
      <c r="D759" s="2" t="s">
        <v>1475</v>
      </c>
    </row>
    <row r="760" spans="1:4" ht="13.05" customHeight="1" x14ac:dyDescent="0.3">
      <c r="A760" s="2" t="s">
        <v>237</v>
      </c>
      <c r="B760" s="2" t="s">
        <v>1033</v>
      </c>
      <c r="C760" s="5" t="s">
        <v>1476</v>
      </c>
      <c r="D760" s="2" t="s">
        <v>1477</v>
      </c>
    </row>
    <row r="761" spans="1:4" ht="13.05" customHeight="1" x14ac:dyDescent="0.3">
      <c r="A761" s="2" t="s">
        <v>237</v>
      </c>
      <c r="B761" s="2" t="s">
        <v>1033</v>
      </c>
      <c r="C761" s="5" t="s">
        <v>1478</v>
      </c>
      <c r="D761" s="2" t="s">
        <v>1479</v>
      </c>
    </row>
    <row r="762" spans="1:4" ht="13.05" customHeight="1" x14ac:dyDescent="0.3">
      <c r="A762" s="2" t="s">
        <v>237</v>
      </c>
      <c r="B762" s="2" t="s">
        <v>1033</v>
      </c>
      <c r="C762" s="5" t="s">
        <v>1480</v>
      </c>
      <c r="D762" s="2" t="s">
        <v>1481</v>
      </c>
    </row>
    <row r="763" spans="1:4" ht="13.05" customHeight="1" x14ac:dyDescent="0.3">
      <c r="A763" s="2" t="s">
        <v>237</v>
      </c>
      <c r="B763" s="2" t="s">
        <v>1033</v>
      </c>
      <c r="C763" s="5" t="s">
        <v>1482</v>
      </c>
      <c r="D763" s="2" t="s">
        <v>1483</v>
      </c>
    </row>
    <row r="764" spans="1:4" ht="13.05" customHeight="1" x14ac:dyDescent="0.3">
      <c r="A764" s="2" t="s">
        <v>237</v>
      </c>
      <c r="B764" s="2" t="s">
        <v>1033</v>
      </c>
      <c r="C764" s="5" t="s">
        <v>1484</v>
      </c>
      <c r="D764" s="2" t="s">
        <v>1485</v>
      </c>
    </row>
    <row r="765" spans="1:4" ht="13.05" customHeight="1" x14ac:dyDescent="0.3">
      <c r="A765" s="2" t="s">
        <v>237</v>
      </c>
      <c r="B765" s="2" t="s">
        <v>1033</v>
      </c>
      <c r="C765" s="5" t="s">
        <v>1486</v>
      </c>
      <c r="D765" s="2" t="s">
        <v>1487</v>
      </c>
    </row>
    <row r="766" spans="1:4" ht="13.05" customHeight="1" x14ac:dyDescent="0.3">
      <c r="A766" s="2" t="s">
        <v>237</v>
      </c>
      <c r="B766" s="2" t="s">
        <v>1033</v>
      </c>
      <c r="C766" s="5" t="s">
        <v>1488</v>
      </c>
      <c r="D766" s="2" t="s">
        <v>1489</v>
      </c>
    </row>
    <row r="767" spans="1:4" ht="13.05" customHeight="1" x14ac:dyDescent="0.3">
      <c r="A767" s="2" t="s">
        <v>237</v>
      </c>
      <c r="B767" s="2" t="s">
        <v>1033</v>
      </c>
      <c r="C767" s="5" t="s">
        <v>1490</v>
      </c>
      <c r="D767" s="2" t="s">
        <v>1491</v>
      </c>
    </row>
    <row r="768" spans="1:4" ht="13.05" customHeight="1" x14ac:dyDescent="0.3">
      <c r="A768" s="2" t="s">
        <v>237</v>
      </c>
      <c r="B768" s="2" t="s">
        <v>1033</v>
      </c>
      <c r="C768" s="5" t="s">
        <v>1492</v>
      </c>
      <c r="D768" s="2" t="s">
        <v>1493</v>
      </c>
    </row>
    <row r="769" spans="1:4" ht="13.05" customHeight="1" x14ac:dyDescent="0.3">
      <c r="A769" s="2" t="s">
        <v>237</v>
      </c>
      <c r="B769" s="2" t="s">
        <v>1033</v>
      </c>
      <c r="C769" s="5" t="s">
        <v>1494</v>
      </c>
      <c r="D769" s="2" t="s">
        <v>1495</v>
      </c>
    </row>
    <row r="770" spans="1:4" ht="13.05" customHeight="1" x14ac:dyDescent="0.3">
      <c r="A770" s="2" t="s">
        <v>237</v>
      </c>
      <c r="B770" s="2" t="s">
        <v>1033</v>
      </c>
      <c r="C770" s="5" t="s">
        <v>1496</v>
      </c>
      <c r="D770" s="2" t="s">
        <v>1497</v>
      </c>
    </row>
    <row r="771" spans="1:4" ht="13.05" customHeight="1" x14ac:dyDescent="0.3">
      <c r="A771" s="2" t="s">
        <v>237</v>
      </c>
      <c r="B771" s="2" t="s">
        <v>1033</v>
      </c>
      <c r="C771" s="5" t="s">
        <v>1498</v>
      </c>
      <c r="D771" s="2" t="s">
        <v>1499</v>
      </c>
    </row>
    <row r="772" spans="1:4" ht="13.05" customHeight="1" x14ac:dyDescent="0.3">
      <c r="A772" s="2" t="s">
        <v>237</v>
      </c>
      <c r="B772" s="2" t="s">
        <v>1033</v>
      </c>
      <c r="C772" s="5" t="s">
        <v>1500</v>
      </c>
      <c r="D772" s="2" t="s">
        <v>1501</v>
      </c>
    </row>
    <row r="773" spans="1:4" ht="13.05" customHeight="1" x14ac:dyDescent="0.3">
      <c r="A773" s="2" t="s">
        <v>237</v>
      </c>
      <c r="B773" s="2" t="s">
        <v>1033</v>
      </c>
      <c r="C773" s="5" t="s">
        <v>1502</v>
      </c>
      <c r="D773" s="2" t="s">
        <v>1503</v>
      </c>
    </row>
    <row r="774" spans="1:4" ht="13.05" customHeight="1" x14ac:dyDescent="0.3">
      <c r="A774" s="2" t="s">
        <v>237</v>
      </c>
      <c r="B774" s="2" t="s">
        <v>1033</v>
      </c>
      <c r="C774" s="5" t="s">
        <v>1504</v>
      </c>
      <c r="D774" s="2" t="s">
        <v>1505</v>
      </c>
    </row>
    <row r="775" spans="1:4" ht="13.05" customHeight="1" x14ac:dyDescent="0.3">
      <c r="A775" s="2" t="s">
        <v>237</v>
      </c>
      <c r="B775" s="2" t="s">
        <v>1033</v>
      </c>
      <c r="C775" s="5" t="s">
        <v>1506</v>
      </c>
      <c r="D775" s="2" t="s">
        <v>1507</v>
      </c>
    </row>
    <row r="776" spans="1:4" ht="13.05" customHeight="1" x14ac:dyDescent="0.3">
      <c r="A776" s="2" t="s">
        <v>237</v>
      </c>
      <c r="B776" s="2" t="s">
        <v>1033</v>
      </c>
      <c r="C776" s="5" t="s">
        <v>1508</v>
      </c>
      <c r="D776" s="2" t="s">
        <v>1509</v>
      </c>
    </row>
    <row r="777" spans="1:4" ht="13.05" customHeight="1" x14ac:dyDescent="0.3">
      <c r="A777" s="2" t="s">
        <v>237</v>
      </c>
      <c r="B777" s="2" t="s">
        <v>1033</v>
      </c>
      <c r="C777" s="5" t="s">
        <v>1510</v>
      </c>
      <c r="D777" s="2" t="s">
        <v>1511</v>
      </c>
    </row>
    <row r="778" spans="1:4" ht="13.05" customHeight="1" x14ac:dyDescent="0.3">
      <c r="A778" s="2" t="s">
        <v>237</v>
      </c>
      <c r="B778" s="2" t="s">
        <v>1033</v>
      </c>
      <c r="C778" s="5" t="s">
        <v>1512</v>
      </c>
      <c r="D778" s="2" t="s">
        <v>1513</v>
      </c>
    </row>
    <row r="779" spans="1:4" ht="13.05" customHeight="1" x14ac:dyDescent="0.3">
      <c r="A779" s="2" t="s">
        <v>237</v>
      </c>
      <c r="B779" s="2" t="s">
        <v>1033</v>
      </c>
      <c r="C779" s="5" t="s">
        <v>1514</v>
      </c>
      <c r="D779" s="2" t="s">
        <v>1515</v>
      </c>
    </row>
    <row r="780" spans="1:4" ht="13.05" customHeight="1" x14ac:dyDescent="0.3">
      <c r="A780" s="2" t="s">
        <v>237</v>
      </c>
      <c r="B780" s="2" t="s">
        <v>1033</v>
      </c>
      <c r="C780" s="5" t="s">
        <v>1516</v>
      </c>
      <c r="D780" s="2" t="s">
        <v>1517</v>
      </c>
    </row>
    <row r="781" spans="1:4" ht="13.05" customHeight="1" x14ac:dyDescent="0.3">
      <c r="A781" s="2" t="s">
        <v>237</v>
      </c>
      <c r="B781" s="2" t="s">
        <v>1033</v>
      </c>
      <c r="C781" s="5" t="s">
        <v>1518</v>
      </c>
      <c r="D781" s="2" t="s">
        <v>1519</v>
      </c>
    </row>
    <row r="782" spans="1:4" ht="13.05" customHeight="1" x14ac:dyDescent="0.3">
      <c r="A782" s="2" t="s">
        <v>237</v>
      </c>
      <c r="B782" s="2" t="s">
        <v>1033</v>
      </c>
      <c r="C782" s="5" t="s">
        <v>1520</v>
      </c>
      <c r="D782" s="2" t="s">
        <v>1521</v>
      </c>
    </row>
    <row r="783" spans="1:4" ht="13.05" customHeight="1" x14ac:dyDescent="0.3">
      <c r="A783" s="2" t="s">
        <v>237</v>
      </c>
      <c r="B783" s="2" t="s">
        <v>1033</v>
      </c>
      <c r="C783" s="5" t="s">
        <v>1522</v>
      </c>
      <c r="D783" s="2" t="s">
        <v>1523</v>
      </c>
    </row>
    <row r="784" spans="1:4" ht="13.05" customHeight="1" x14ac:dyDescent="0.3">
      <c r="A784" s="2" t="s">
        <v>237</v>
      </c>
      <c r="B784" s="2" t="s">
        <v>1033</v>
      </c>
      <c r="C784" s="5" t="s">
        <v>1524</v>
      </c>
      <c r="D784" s="2" t="s">
        <v>1525</v>
      </c>
    </row>
    <row r="785" spans="1:4" ht="13.05" customHeight="1" x14ac:dyDescent="0.3">
      <c r="A785" s="2" t="s">
        <v>237</v>
      </c>
      <c r="B785" s="2" t="s">
        <v>1033</v>
      </c>
      <c r="C785" s="5" t="s">
        <v>1526</v>
      </c>
      <c r="D785" s="2" t="s">
        <v>1527</v>
      </c>
    </row>
    <row r="786" spans="1:4" ht="13.05" customHeight="1" x14ac:dyDescent="0.3">
      <c r="A786" s="2" t="s">
        <v>237</v>
      </c>
      <c r="B786" s="2" t="s">
        <v>1033</v>
      </c>
      <c r="C786" s="5" t="s">
        <v>1528</v>
      </c>
      <c r="D786" s="2" t="s">
        <v>1529</v>
      </c>
    </row>
    <row r="787" spans="1:4" ht="13.05" customHeight="1" x14ac:dyDescent="0.3">
      <c r="A787" s="2" t="s">
        <v>237</v>
      </c>
      <c r="B787" s="2" t="s">
        <v>1033</v>
      </c>
      <c r="C787" s="5" t="s">
        <v>1530</v>
      </c>
      <c r="D787" s="2" t="s">
        <v>1531</v>
      </c>
    </row>
    <row r="788" spans="1:4" ht="13.05" customHeight="1" x14ac:dyDescent="0.3">
      <c r="A788" s="2" t="s">
        <v>237</v>
      </c>
      <c r="B788" s="2" t="s">
        <v>1033</v>
      </c>
      <c r="C788" s="5" t="s">
        <v>1532</v>
      </c>
      <c r="D788" s="2" t="s">
        <v>1533</v>
      </c>
    </row>
    <row r="789" spans="1:4" ht="13.05" customHeight="1" x14ac:dyDescent="0.3">
      <c r="A789" s="2" t="s">
        <v>237</v>
      </c>
      <c r="B789" s="2" t="s">
        <v>1033</v>
      </c>
      <c r="C789" s="5" t="s">
        <v>1534</v>
      </c>
      <c r="D789" s="2" t="s">
        <v>1535</v>
      </c>
    </row>
    <row r="790" spans="1:4" ht="13.05" customHeight="1" x14ac:dyDescent="0.3">
      <c r="A790" s="2" t="s">
        <v>237</v>
      </c>
      <c r="B790" s="2" t="s">
        <v>1033</v>
      </c>
      <c r="C790" s="5" t="s">
        <v>1536</v>
      </c>
      <c r="D790" s="2" t="s">
        <v>1537</v>
      </c>
    </row>
    <row r="791" spans="1:4" ht="13.05" customHeight="1" x14ac:dyDescent="0.3">
      <c r="A791" s="2" t="s">
        <v>237</v>
      </c>
      <c r="B791" s="2" t="s">
        <v>1033</v>
      </c>
      <c r="C791" s="5" t="s">
        <v>1538</v>
      </c>
      <c r="D791" s="2" t="s">
        <v>1539</v>
      </c>
    </row>
    <row r="792" spans="1:4" ht="13.05" customHeight="1" x14ac:dyDescent="0.3">
      <c r="A792" s="2" t="s">
        <v>237</v>
      </c>
      <c r="B792" s="2" t="s">
        <v>1033</v>
      </c>
      <c r="C792" s="5" t="s">
        <v>1540</v>
      </c>
      <c r="D792" s="2" t="s">
        <v>1541</v>
      </c>
    </row>
    <row r="793" spans="1:4" ht="13.05" customHeight="1" x14ac:dyDescent="0.3">
      <c r="A793" s="2" t="s">
        <v>237</v>
      </c>
      <c r="B793" s="2" t="s">
        <v>1033</v>
      </c>
      <c r="C793" s="5" t="s">
        <v>1542</v>
      </c>
      <c r="D793" s="2" t="s">
        <v>1543</v>
      </c>
    </row>
    <row r="794" spans="1:4" ht="13.05" customHeight="1" x14ac:dyDescent="0.3">
      <c r="A794" s="2" t="s">
        <v>237</v>
      </c>
      <c r="B794" s="2" t="s">
        <v>1033</v>
      </c>
      <c r="C794" s="5" t="s">
        <v>1544</v>
      </c>
      <c r="D794" s="2" t="s">
        <v>1545</v>
      </c>
    </row>
    <row r="795" spans="1:4" ht="13.05" customHeight="1" x14ac:dyDescent="0.3">
      <c r="A795" s="2" t="s">
        <v>237</v>
      </c>
      <c r="B795" s="2" t="s">
        <v>1033</v>
      </c>
      <c r="C795" s="5" t="s">
        <v>1546</v>
      </c>
      <c r="D795" s="2" t="s">
        <v>1547</v>
      </c>
    </row>
    <row r="796" spans="1:4" ht="13.05" customHeight="1" x14ac:dyDescent="0.3">
      <c r="A796" s="2" t="s">
        <v>237</v>
      </c>
      <c r="B796" s="2" t="s">
        <v>1033</v>
      </c>
      <c r="C796" s="5" t="s">
        <v>1548</v>
      </c>
      <c r="D796" s="2" t="s">
        <v>1549</v>
      </c>
    </row>
    <row r="797" spans="1:4" ht="13.05" customHeight="1" x14ac:dyDescent="0.3">
      <c r="A797" s="2" t="s">
        <v>237</v>
      </c>
      <c r="B797" s="2" t="s">
        <v>1033</v>
      </c>
      <c r="C797" s="5" t="s">
        <v>1550</v>
      </c>
      <c r="D797" s="2" t="s">
        <v>1551</v>
      </c>
    </row>
    <row r="798" spans="1:4" ht="13.05" customHeight="1" x14ac:dyDescent="0.3">
      <c r="A798" s="2" t="s">
        <v>237</v>
      </c>
      <c r="B798" s="2" t="s">
        <v>1033</v>
      </c>
      <c r="C798" s="5" t="s">
        <v>1552</v>
      </c>
      <c r="D798" s="2" t="s">
        <v>1553</v>
      </c>
    </row>
    <row r="799" spans="1:4" ht="13.05" customHeight="1" x14ac:dyDescent="0.3">
      <c r="A799" s="2" t="s">
        <v>237</v>
      </c>
      <c r="B799" s="2" t="s">
        <v>1033</v>
      </c>
      <c r="C799" s="5" t="s">
        <v>1554</v>
      </c>
      <c r="D799" s="2" t="s">
        <v>1555</v>
      </c>
    </row>
    <row r="800" spans="1:4" ht="13.05" customHeight="1" x14ac:dyDescent="0.3">
      <c r="A800" s="2" t="s">
        <v>237</v>
      </c>
      <c r="B800" s="2" t="s">
        <v>1033</v>
      </c>
      <c r="C800" s="5" t="s">
        <v>1556</v>
      </c>
      <c r="D800" s="2" t="s">
        <v>1557</v>
      </c>
    </row>
    <row r="801" spans="1:4" ht="13.05" customHeight="1" x14ac:dyDescent="0.3">
      <c r="A801" s="2" t="s">
        <v>237</v>
      </c>
      <c r="B801" s="2" t="s">
        <v>1033</v>
      </c>
      <c r="C801" s="5" t="s">
        <v>1558</v>
      </c>
      <c r="D801" s="2" t="s">
        <v>1559</v>
      </c>
    </row>
    <row r="802" spans="1:4" ht="13.05" customHeight="1" x14ac:dyDescent="0.3">
      <c r="A802" s="2" t="s">
        <v>237</v>
      </c>
      <c r="B802" s="2" t="s">
        <v>1033</v>
      </c>
      <c r="C802" s="5" t="s">
        <v>1560</v>
      </c>
      <c r="D802" s="2" t="s">
        <v>1561</v>
      </c>
    </row>
    <row r="803" spans="1:4" ht="13.05" customHeight="1" x14ac:dyDescent="0.3">
      <c r="A803" s="2" t="s">
        <v>237</v>
      </c>
      <c r="B803" s="2" t="s">
        <v>1033</v>
      </c>
      <c r="C803" s="5" t="s">
        <v>1562</v>
      </c>
      <c r="D803" s="2" t="s">
        <v>1563</v>
      </c>
    </row>
    <row r="804" spans="1:4" ht="13.05" customHeight="1" x14ac:dyDescent="0.3">
      <c r="A804" s="2" t="s">
        <v>237</v>
      </c>
      <c r="B804" s="2" t="s">
        <v>1033</v>
      </c>
      <c r="C804" s="5" t="s">
        <v>1564</v>
      </c>
      <c r="D804" s="2" t="s">
        <v>1565</v>
      </c>
    </row>
    <row r="805" spans="1:4" ht="13.05" customHeight="1" x14ac:dyDescent="0.3">
      <c r="A805" s="2" t="s">
        <v>237</v>
      </c>
      <c r="B805" s="2" t="s">
        <v>1033</v>
      </c>
      <c r="C805" s="5" t="s">
        <v>1566</v>
      </c>
      <c r="D805" s="2" t="s">
        <v>1567</v>
      </c>
    </row>
    <row r="806" spans="1:4" ht="13.05" customHeight="1" x14ac:dyDescent="0.3">
      <c r="A806" s="2" t="s">
        <v>237</v>
      </c>
      <c r="B806" s="2" t="s">
        <v>1033</v>
      </c>
      <c r="C806" s="5" t="s">
        <v>1568</v>
      </c>
      <c r="D806" s="2" t="s">
        <v>1569</v>
      </c>
    </row>
    <row r="807" spans="1:4" ht="13.05" customHeight="1" x14ac:dyDescent="0.3">
      <c r="A807" s="2" t="s">
        <v>237</v>
      </c>
      <c r="B807" s="2" t="s">
        <v>1033</v>
      </c>
      <c r="C807" s="5" t="s">
        <v>1570</v>
      </c>
      <c r="D807" s="2" t="s">
        <v>1571</v>
      </c>
    </row>
    <row r="808" spans="1:4" ht="13.05" customHeight="1" x14ac:dyDescent="0.3">
      <c r="A808" s="2" t="s">
        <v>237</v>
      </c>
      <c r="B808" s="2" t="s">
        <v>1033</v>
      </c>
      <c r="C808" s="5" t="s">
        <v>1572</v>
      </c>
      <c r="D808" s="2" t="s">
        <v>1573</v>
      </c>
    </row>
    <row r="809" spans="1:4" ht="13.05" customHeight="1" x14ac:dyDescent="0.3">
      <c r="A809" s="2" t="s">
        <v>237</v>
      </c>
      <c r="B809" s="2" t="s">
        <v>1033</v>
      </c>
      <c r="C809" s="5" t="s">
        <v>1574</v>
      </c>
      <c r="D809" s="2" t="s">
        <v>1575</v>
      </c>
    </row>
    <row r="810" spans="1:4" ht="13.05" customHeight="1" x14ac:dyDescent="0.3">
      <c r="A810" s="2" t="s">
        <v>237</v>
      </c>
      <c r="B810" s="2" t="s">
        <v>1033</v>
      </c>
      <c r="C810" s="5" t="s">
        <v>1576</v>
      </c>
      <c r="D810" s="2" t="s">
        <v>1577</v>
      </c>
    </row>
    <row r="811" spans="1:4" ht="13.05" customHeight="1" x14ac:dyDescent="0.3">
      <c r="A811" s="2" t="s">
        <v>237</v>
      </c>
      <c r="B811" s="2" t="s">
        <v>1033</v>
      </c>
      <c r="C811" s="5" t="s">
        <v>1578</v>
      </c>
      <c r="D811" s="2" t="s">
        <v>1579</v>
      </c>
    </row>
    <row r="812" spans="1:4" ht="13.05" customHeight="1" x14ac:dyDescent="0.3">
      <c r="A812" s="2" t="s">
        <v>237</v>
      </c>
      <c r="B812" s="2" t="s">
        <v>1033</v>
      </c>
      <c r="C812" s="5" t="s">
        <v>1580</v>
      </c>
      <c r="D812" s="2" t="s">
        <v>1581</v>
      </c>
    </row>
    <row r="813" spans="1:4" ht="13.05" customHeight="1" x14ac:dyDescent="0.3">
      <c r="A813" s="2" t="s">
        <v>237</v>
      </c>
      <c r="B813" s="2" t="s">
        <v>1033</v>
      </c>
      <c r="C813" s="5" t="s">
        <v>1582</v>
      </c>
      <c r="D813" s="2" t="s">
        <v>1583</v>
      </c>
    </row>
    <row r="814" spans="1:4" ht="13.05" customHeight="1" x14ac:dyDescent="0.3">
      <c r="A814" s="2" t="s">
        <v>237</v>
      </c>
      <c r="B814" s="2" t="s">
        <v>1033</v>
      </c>
      <c r="C814" s="5" t="s">
        <v>1584</v>
      </c>
      <c r="D814" s="2" t="s">
        <v>1585</v>
      </c>
    </row>
    <row r="815" spans="1:4" ht="13.05" customHeight="1" x14ac:dyDescent="0.3">
      <c r="A815" s="2" t="s">
        <v>237</v>
      </c>
      <c r="B815" s="2" t="s">
        <v>1033</v>
      </c>
      <c r="C815" s="5" t="s">
        <v>1586</v>
      </c>
      <c r="D815" s="2" t="s">
        <v>1587</v>
      </c>
    </row>
    <row r="816" spans="1:4" ht="13.05" customHeight="1" x14ac:dyDescent="0.3">
      <c r="A816" s="2" t="s">
        <v>237</v>
      </c>
      <c r="B816" s="2" t="s">
        <v>1033</v>
      </c>
      <c r="C816" s="5" t="s">
        <v>1588</v>
      </c>
      <c r="D816" s="2" t="s">
        <v>1589</v>
      </c>
    </row>
    <row r="817" spans="1:4" ht="13.05" customHeight="1" x14ac:dyDescent="0.3">
      <c r="A817" s="2" t="s">
        <v>237</v>
      </c>
      <c r="B817" s="2" t="s">
        <v>1033</v>
      </c>
      <c r="C817" s="5" t="s">
        <v>1590</v>
      </c>
      <c r="D817" s="2" t="s">
        <v>1591</v>
      </c>
    </row>
    <row r="818" spans="1:4" ht="13.05" customHeight="1" x14ac:dyDescent="0.3">
      <c r="A818" s="2" t="s">
        <v>237</v>
      </c>
      <c r="B818" s="2" t="s">
        <v>1033</v>
      </c>
      <c r="C818" s="5" t="s">
        <v>1592</v>
      </c>
      <c r="D818" s="2" t="s">
        <v>1593</v>
      </c>
    </row>
    <row r="819" spans="1:4" ht="13.05" customHeight="1" x14ac:dyDescent="0.3">
      <c r="A819" s="2" t="s">
        <v>237</v>
      </c>
      <c r="B819" s="2" t="s">
        <v>1033</v>
      </c>
      <c r="C819" s="5" t="s">
        <v>1594</v>
      </c>
      <c r="D819" s="2" t="s">
        <v>1595</v>
      </c>
    </row>
    <row r="820" spans="1:4" ht="13.05" customHeight="1" x14ac:dyDescent="0.3">
      <c r="A820" s="2" t="s">
        <v>237</v>
      </c>
      <c r="B820" s="2" t="s">
        <v>1033</v>
      </c>
      <c r="C820" s="5" t="s">
        <v>1596</v>
      </c>
      <c r="D820" s="2" t="s">
        <v>1597</v>
      </c>
    </row>
    <row r="821" spans="1:4" ht="13.05" customHeight="1" x14ac:dyDescent="0.3">
      <c r="A821" s="2" t="s">
        <v>237</v>
      </c>
      <c r="B821" s="2" t="s">
        <v>1033</v>
      </c>
      <c r="C821" s="5" t="s">
        <v>1598</v>
      </c>
      <c r="D821" s="2" t="s">
        <v>1599</v>
      </c>
    </row>
    <row r="822" spans="1:4" ht="13.05" customHeight="1" x14ac:dyDescent="0.3">
      <c r="A822" s="2" t="s">
        <v>237</v>
      </c>
      <c r="B822" s="2" t="s">
        <v>1033</v>
      </c>
      <c r="C822" s="5" t="s">
        <v>1600</v>
      </c>
      <c r="D822" s="2" t="s">
        <v>1601</v>
      </c>
    </row>
    <row r="823" spans="1:4" ht="13.05" customHeight="1" x14ac:dyDescent="0.3">
      <c r="A823" s="2" t="s">
        <v>237</v>
      </c>
      <c r="B823" s="2" t="s">
        <v>1033</v>
      </c>
      <c r="C823" s="5" t="s">
        <v>1602</v>
      </c>
      <c r="D823" s="2" t="s">
        <v>1603</v>
      </c>
    </row>
    <row r="824" spans="1:4" ht="13.05" customHeight="1" x14ac:dyDescent="0.3">
      <c r="A824" s="2" t="s">
        <v>237</v>
      </c>
      <c r="B824" s="2" t="s">
        <v>1033</v>
      </c>
      <c r="C824" s="5" t="s">
        <v>1604</v>
      </c>
      <c r="D824" s="2" t="s">
        <v>1605</v>
      </c>
    </row>
    <row r="825" spans="1:4" ht="13.05" customHeight="1" x14ac:dyDescent="0.3">
      <c r="A825" s="2" t="s">
        <v>237</v>
      </c>
      <c r="B825" s="2" t="s">
        <v>1033</v>
      </c>
      <c r="C825" s="5" t="s">
        <v>1606</v>
      </c>
      <c r="D825" s="2" t="s">
        <v>1607</v>
      </c>
    </row>
    <row r="826" spans="1:4" ht="13.05" customHeight="1" x14ac:dyDescent="0.3">
      <c r="A826" s="2" t="s">
        <v>237</v>
      </c>
      <c r="B826" s="2" t="s">
        <v>1033</v>
      </c>
      <c r="C826" s="5" t="s">
        <v>1608</v>
      </c>
      <c r="D826" s="2" t="s">
        <v>1609</v>
      </c>
    </row>
    <row r="827" spans="1:4" ht="13.05" customHeight="1" x14ac:dyDescent="0.3">
      <c r="A827" s="2" t="s">
        <v>237</v>
      </c>
      <c r="B827" s="2" t="s">
        <v>1033</v>
      </c>
      <c r="C827" s="5" t="s">
        <v>1610</v>
      </c>
      <c r="D827" s="2" t="s">
        <v>1611</v>
      </c>
    </row>
    <row r="828" spans="1:4" ht="13.05" customHeight="1" x14ac:dyDescent="0.3">
      <c r="A828" s="2" t="s">
        <v>237</v>
      </c>
      <c r="B828" s="2" t="s">
        <v>1033</v>
      </c>
      <c r="C828" s="5" t="s">
        <v>1612</v>
      </c>
      <c r="D828" s="2" t="s">
        <v>1613</v>
      </c>
    </row>
    <row r="829" spans="1:4" ht="13.05" customHeight="1" x14ac:dyDescent="0.3">
      <c r="A829" s="2" t="s">
        <v>237</v>
      </c>
      <c r="B829" s="2" t="s">
        <v>1033</v>
      </c>
      <c r="C829" s="5" t="s">
        <v>1614</v>
      </c>
      <c r="D829" s="2" t="s">
        <v>1615</v>
      </c>
    </row>
    <row r="830" spans="1:4" ht="13.05" customHeight="1" x14ac:dyDescent="0.3">
      <c r="A830" s="2" t="s">
        <v>237</v>
      </c>
      <c r="B830" s="2" t="s">
        <v>1033</v>
      </c>
      <c r="C830" s="5" t="s">
        <v>1616</v>
      </c>
      <c r="D830" s="2" t="s">
        <v>1617</v>
      </c>
    </row>
    <row r="831" spans="1:4" ht="13.05" customHeight="1" x14ac:dyDescent="0.3">
      <c r="A831" s="2" t="s">
        <v>237</v>
      </c>
      <c r="B831" s="2" t="s">
        <v>1033</v>
      </c>
      <c r="C831" s="5" t="s">
        <v>1618</v>
      </c>
      <c r="D831" s="2" t="s">
        <v>1619</v>
      </c>
    </row>
    <row r="832" spans="1:4" ht="13.05" customHeight="1" x14ac:dyDescent="0.3">
      <c r="A832" s="2" t="s">
        <v>237</v>
      </c>
      <c r="B832" s="2" t="s">
        <v>1033</v>
      </c>
      <c r="C832" s="5" t="s">
        <v>1620</v>
      </c>
      <c r="D832" s="2" t="s">
        <v>1621</v>
      </c>
    </row>
    <row r="833" spans="1:4" ht="13.05" customHeight="1" x14ac:dyDescent="0.3">
      <c r="A833" s="2" t="s">
        <v>237</v>
      </c>
      <c r="B833" s="2" t="s">
        <v>1033</v>
      </c>
      <c r="C833" s="5" t="s">
        <v>1622</v>
      </c>
      <c r="D833" s="2" t="s">
        <v>1623</v>
      </c>
    </row>
    <row r="834" spans="1:4" ht="13.05" customHeight="1" x14ac:dyDescent="0.3">
      <c r="A834" s="2" t="s">
        <v>237</v>
      </c>
      <c r="B834" s="2" t="s">
        <v>1033</v>
      </c>
      <c r="C834" s="5" t="s">
        <v>1624</v>
      </c>
      <c r="D834" s="2" t="s">
        <v>1625</v>
      </c>
    </row>
    <row r="835" spans="1:4" ht="13.05" customHeight="1" x14ac:dyDescent="0.3">
      <c r="A835" s="2" t="s">
        <v>237</v>
      </c>
      <c r="B835" s="2" t="s">
        <v>1033</v>
      </c>
      <c r="C835" s="5" t="s">
        <v>1626</v>
      </c>
      <c r="D835" s="2" t="s">
        <v>1627</v>
      </c>
    </row>
    <row r="836" spans="1:4" ht="13.05" customHeight="1" x14ac:dyDescent="0.3">
      <c r="A836" s="2" t="s">
        <v>237</v>
      </c>
      <c r="B836" s="2" t="s">
        <v>1033</v>
      </c>
      <c r="C836" s="5" t="s">
        <v>1628</v>
      </c>
      <c r="D836" s="2" t="s">
        <v>1629</v>
      </c>
    </row>
    <row r="837" spans="1:4" ht="13.05" customHeight="1" x14ac:dyDescent="0.3">
      <c r="A837" s="2" t="s">
        <v>237</v>
      </c>
      <c r="B837" s="2" t="s">
        <v>1033</v>
      </c>
      <c r="C837" s="5" t="s">
        <v>1630</v>
      </c>
      <c r="D837" s="2" t="s">
        <v>1631</v>
      </c>
    </row>
    <row r="838" spans="1:4" ht="13.05" customHeight="1" x14ac:dyDescent="0.3">
      <c r="A838" s="2" t="s">
        <v>237</v>
      </c>
      <c r="B838" s="2" t="s">
        <v>1033</v>
      </c>
      <c r="C838" s="5" t="s">
        <v>1632</v>
      </c>
      <c r="D838" s="2" t="s">
        <v>1633</v>
      </c>
    </row>
    <row r="839" spans="1:4" ht="13.05" customHeight="1" x14ac:dyDescent="0.3">
      <c r="A839" s="2" t="s">
        <v>237</v>
      </c>
      <c r="B839" s="2" t="s">
        <v>1033</v>
      </c>
      <c r="C839" s="5" t="s">
        <v>1634</v>
      </c>
      <c r="D839" s="2" t="s">
        <v>1635</v>
      </c>
    </row>
    <row r="840" spans="1:4" ht="13.05" customHeight="1" x14ac:dyDescent="0.3">
      <c r="A840" s="2" t="s">
        <v>237</v>
      </c>
      <c r="B840" s="2" t="s">
        <v>1033</v>
      </c>
      <c r="C840" s="5" t="s">
        <v>1636</v>
      </c>
      <c r="D840" s="2" t="s">
        <v>1637</v>
      </c>
    </row>
    <row r="841" spans="1:4" ht="13.05" customHeight="1" x14ac:dyDescent="0.3">
      <c r="A841" s="2" t="s">
        <v>237</v>
      </c>
      <c r="B841" s="2" t="s">
        <v>1033</v>
      </c>
      <c r="C841" s="5" t="s">
        <v>1638</v>
      </c>
      <c r="D841" s="2" t="s">
        <v>1639</v>
      </c>
    </row>
    <row r="842" spans="1:4" ht="13.05" customHeight="1" x14ac:dyDescent="0.3">
      <c r="A842" s="2" t="s">
        <v>237</v>
      </c>
      <c r="B842" s="2" t="s">
        <v>1033</v>
      </c>
      <c r="C842" s="5" t="s">
        <v>1640</v>
      </c>
      <c r="D842" s="2" t="s">
        <v>1641</v>
      </c>
    </row>
    <row r="843" spans="1:4" ht="13.05" customHeight="1" x14ac:dyDescent="0.3">
      <c r="A843" s="2" t="s">
        <v>237</v>
      </c>
      <c r="B843" s="2" t="s">
        <v>1033</v>
      </c>
      <c r="C843" s="5" t="s">
        <v>1642</v>
      </c>
      <c r="D843" s="2" t="s">
        <v>1643</v>
      </c>
    </row>
    <row r="844" spans="1:4" ht="13.05" customHeight="1" x14ac:dyDescent="0.3">
      <c r="A844" s="2" t="s">
        <v>237</v>
      </c>
      <c r="B844" s="2" t="s">
        <v>1033</v>
      </c>
      <c r="C844" s="5" t="s">
        <v>1644</v>
      </c>
      <c r="D844" s="2" t="s">
        <v>1645</v>
      </c>
    </row>
    <row r="845" spans="1:4" ht="13.05" customHeight="1" x14ac:dyDescent="0.3">
      <c r="A845" s="2" t="s">
        <v>237</v>
      </c>
      <c r="B845" s="2" t="s">
        <v>1033</v>
      </c>
      <c r="C845" s="5" t="s">
        <v>1646</v>
      </c>
      <c r="D845" s="2" t="s">
        <v>1647</v>
      </c>
    </row>
    <row r="846" spans="1:4" ht="13.05" customHeight="1" x14ac:dyDescent="0.3">
      <c r="A846" s="2" t="s">
        <v>237</v>
      </c>
      <c r="B846" s="2" t="s">
        <v>1033</v>
      </c>
      <c r="C846" s="5" t="s">
        <v>1648</v>
      </c>
      <c r="D846" s="2" t="s">
        <v>1649</v>
      </c>
    </row>
    <row r="847" spans="1:4" ht="13.05" customHeight="1" x14ac:dyDescent="0.3">
      <c r="A847" s="2" t="s">
        <v>237</v>
      </c>
      <c r="B847" s="2" t="s">
        <v>1033</v>
      </c>
      <c r="C847" s="5" t="s">
        <v>1650</v>
      </c>
      <c r="D847" s="2" t="s">
        <v>1651</v>
      </c>
    </row>
    <row r="848" spans="1:4" ht="13.05" customHeight="1" x14ac:dyDescent="0.3">
      <c r="A848" s="2" t="s">
        <v>237</v>
      </c>
      <c r="B848" s="2" t="s">
        <v>1033</v>
      </c>
      <c r="C848" s="5" t="s">
        <v>1652</v>
      </c>
      <c r="D848" s="2" t="s">
        <v>1653</v>
      </c>
    </row>
    <row r="849" spans="1:4" ht="13.05" customHeight="1" x14ac:dyDescent="0.3">
      <c r="A849" s="2" t="s">
        <v>237</v>
      </c>
      <c r="B849" s="2" t="s">
        <v>1033</v>
      </c>
      <c r="C849" s="5" t="s">
        <v>1654</v>
      </c>
      <c r="D849" s="2" t="s">
        <v>1655</v>
      </c>
    </row>
    <row r="850" spans="1:4" ht="13.05" customHeight="1" x14ac:dyDescent="0.3">
      <c r="A850" s="2" t="s">
        <v>237</v>
      </c>
      <c r="B850" s="2" t="s">
        <v>1033</v>
      </c>
      <c r="C850" s="5" t="s">
        <v>1656</v>
      </c>
      <c r="D850" s="2" t="s">
        <v>1657</v>
      </c>
    </row>
    <row r="851" spans="1:4" ht="13.05" customHeight="1" x14ac:dyDescent="0.3">
      <c r="A851" s="2" t="s">
        <v>237</v>
      </c>
      <c r="B851" s="2" t="s">
        <v>1033</v>
      </c>
      <c r="C851" s="5" t="s">
        <v>1658</v>
      </c>
      <c r="D851" s="2" t="s">
        <v>1659</v>
      </c>
    </row>
    <row r="852" spans="1:4" ht="13.05" customHeight="1" x14ac:dyDescent="0.3">
      <c r="A852" s="2" t="s">
        <v>237</v>
      </c>
      <c r="B852" s="2" t="s">
        <v>1033</v>
      </c>
      <c r="C852" s="5" t="s">
        <v>1660</v>
      </c>
      <c r="D852" s="2" t="s">
        <v>1661</v>
      </c>
    </row>
    <row r="853" spans="1:4" ht="13.05" customHeight="1" x14ac:dyDescent="0.3">
      <c r="A853" s="2" t="s">
        <v>237</v>
      </c>
      <c r="B853" s="2" t="s">
        <v>1033</v>
      </c>
      <c r="C853" s="5" t="s">
        <v>1662</v>
      </c>
      <c r="D853" s="2" t="s">
        <v>1663</v>
      </c>
    </row>
    <row r="854" spans="1:4" ht="13.05" customHeight="1" x14ac:dyDescent="0.3">
      <c r="A854" s="2" t="s">
        <v>237</v>
      </c>
      <c r="B854" s="2" t="s">
        <v>1033</v>
      </c>
      <c r="C854" s="5" t="s">
        <v>1664</v>
      </c>
      <c r="D854" s="2" t="s">
        <v>1665</v>
      </c>
    </row>
    <row r="855" spans="1:4" ht="13.05" customHeight="1" x14ac:dyDescent="0.3">
      <c r="A855" s="2" t="s">
        <v>237</v>
      </c>
      <c r="B855" s="2" t="s">
        <v>1033</v>
      </c>
      <c r="C855" s="5" t="s">
        <v>1666</v>
      </c>
      <c r="D855" s="2" t="s">
        <v>1667</v>
      </c>
    </row>
    <row r="856" spans="1:4" ht="13.05" customHeight="1" x14ac:dyDescent="0.3">
      <c r="A856" s="2" t="s">
        <v>237</v>
      </c>
      <c r="B856" s="2" t="s">
        <v>1033</v>
      </c>
      <c r="C856" s="5" t="s">
        <v>1668</v>
      </c>
      <c r="D856" s="2" t="s">
        <v>1669</v>
      </c>
    </row>
    <row r="857" spans="1:4" ht="13.05" customHeight="1" x14ac:dyDescent="0.3">
      <c r="A857" s="2" t="s">
        <v>237</v>
      </c>
      <c r="B857" s="2" t="s">
        <v>1033</v>
      </c>
      <c r="C857" s="5" t="s">
        <v>1670</v>
      </c>
      <c r="D857" s="2" t="s">
        <v>1671</v>
      </c>
    </row>
    <row r="858" spans="1:4" ht="13.05" customHeight="1" x14ac:dyDescent="0.3">
      <c r="A858" s="2" t="s">
        <v>237</v>
      </c>
      <c r="B858" s="2" t="s">
        <v>1033</v>
      </c>
      <c r="C858" s="5" t="s">
        <v>1672</v>
      </c>
      <c r="D858" s="2" t="s">
        <v>1673</v>
      </c>
    </row>
    <row r="859" spans="1:4" ht="13.05" customHeight="1" x14ac:dyDescent="0.3">
      <c r="A859" s="2" t="s">
        <v>237</v>
      </c>
      <c r="B859" s="2" t="s">
        <v>1033</v>
      </c>
      <c r="C859" s="5" t="s">
        <v>1674</v>
      </c>
      <c r="D859" s="2" t="s">
        <v>1675</v>
      </c>
    </row>
    <row r="860" spans="1:4" ht="13.05" customHeight="1" x14ac:dyDescent="0.3">
      <c r="A860" s="2" t="s">
        <v>237</v>
      </c>
      <c r="B860" s="2" t="s">
        <v>1033</v>
      </c>
      <c r="C860" s="5" t="s">
        <v>1676</v>
      </c>
      <c r="D860" s="2" t="s">
        <v>1677</v>
      </c>
    </row>
    <row r="861" spans="1:4" ht="13.05" customHeight="1" x14ac:dyDescent="0.3">
      <c r="A861" s="2" t="s">
        <v>237</v>
      </c>
      <c r="B861" s="2" t="s">
        <v>1033</v>
      </c>
      <c r="C861" s="5" t="s">
        <v>1678</v>
      </c>
      <c r="D861" s="2" t="s">
        <v>1679</v>
      </c>
    </row>
    <row r="862" spans="1:4" ht="13.05" customHeight="1" x14ac:dyDescent="0.3">
      <c r="A862" s="2" t="s">
        <v>237</v>
      </c>
      <c r="B862" s="2" t="s">
        <v>1033</v>
      </c>
      <c r="C862" s="5" t="s">
        <v>1680</v>
      </c>
      <c r="D862" s="2" t="s">
        <v>1681</v>
      </c>
    </row>
    <row r="863" spans="1:4" ht="13.05" customHeight="1" x14ac:dyDescent="0.3">
      <c r="A863" s="2" t="s">
        <v>237</v>
      </c>
      <c r="B863" s="2" t="s">
        <v>1033</v>
      </c>
      <c r="C863" s="5" t="s">
        <v>1682</v>
      </c>
      <c r="D863" s="2" t="s">
        <v>1683</v>
      </c>
    </row>
    <row r="864" spans="1:4" ht="13.05" customHeight="1" x14ac:dyDescent="0.3">
      <c r="A864" s="2" t="s">
        <v>237</v>
      </c>
      <c r="B864" s="2" t="s">
        <v>1033</v>
      </c>
      <c r="C864" s="5" t="s">
        <v>1684</v>
      </c>
      <c r="D864" s="2" t="s">
        <v>1685</v>
      </c>
    </row>
    <row r="865" spans="1:4" ht="13.05" customHeight="1" x14ac:dyDescent="0.3">
      <c r="A865" s="2" t="s">
        <v>237</v>
      </c>
      <c r="B865" s="2" t="s">
        <v>1033</v>
      </c>
      <c r="C865" s="5" t="s">
        <v>1686</v>
      </c>
      <c r="D865" s="2" t="s">
        <v>1687</v>
      </c>
    </row>
    <row r="866" spans="1:4" ht="13.05" customHeight="1" x14ac:dyDescent="0.3">
      <c r="A866" s="2" t="s">
        <v>237</v>
      </c>
      <c r="B866" s="2" t="s">
        <v>1033</v>
      </c>
      <c r="C866" s="5" t="s">
        <v>1688</v>
      </c>
      <c r="D866" s="2" t="s">
        <v>1689</v>
      </c>
    </row>
    <row r="867" spans="1:4" ht="13.05" customHeight="1" x14ac:dyDescent="0.3">
      <c r="A867" s="2" t="s">
        <v>237</v>
      </c>
      <c r="B867" s="2" t="s">
        <v>1033</v>
      </c>
      <c r="C867" s="5" t="s">
        <v>1690</v>
      </c>
      <c r="D867" s="2" t="s">
        <v>1691</v>
      </c>
    </row>
    <row r="868" spans="1:4" ht="13.05" customHeight="1" x14ac:dyDescent="0.3">
      <c r="A868" s="2" t="s">
        <v>237</v>
      </c>
      <c r="B868" s="2" t="s">
        <v>1033</v>
      </c>
      <c r="C868" s="5" t="s">
        <v>1692</v>
      </c>
      <c r="D868" s="2" t="s">
        <v>1693</v>
      </c>
    </row>
    <row r="869" spans="1:4" ht="13.05" customHeight="1" x14ac:dyDescent="0.3">
      <c r="A869" s="2" t="s">
        <v>237</v>
      </c>
      <c r="B869" s="2" t="s">
        <v>1033</v>
      </c>
      <c r="C869" s="5" t="s">
        <v>1694</v>
      </c>
      <c r="D869" s="2" t="s">
        <v>1695</v>
      </c>
    </row>
    <row r="870" spans="1:4" ht="13.05" customHeight="1" x14ac:dyDescent="0.3">
      <c r="A870" s="2" t="s">
        <v>237</v>
      </c>
      <c r="B870" s="2" t="s">
        <v>1033</v>
      </c>
      <c r="C870" s="5" t="s">
        <v>1696</v>
      </c>
      <c r="D870" s="2" t="s">
        <v>1697</v>
      </c>
    </row>
    <row r="871" spans="1:4" ht="13.05" customHeight="1" x14ac:dyDescent="0.3">
      <c r="A871" s="2" t="s">
        <v>237</v>
      </c>
      <c r="B871" s="2" t="s">
        <v>1033</v>
      </c>
      <c r="C871" s="5" t="s">
        <v>1698</v>
      </c>
      <c r="D871" s="2" t="s">
        <v>1699</v>
      </c>
    </row>
    <row r="872" spans="1:4" ht="13.05" customHeight="1" x14ac:dyDescent="0.3">
      <c r="A872" s="2" t="s">
        <v>237</v>
      </c>
      <c r="B872" s="2" t="s">
        <v>1033</v>
      </c>
      <c r="C872" s="5" t="s">
        <v>1700</v>
      </c>
      <c r="D872" s="2" t="s">
        <v>1701</v>
      </c>
    </row>
    <row r="873" spans="1:4" ht="13.05" customHeight="1" x14ac:dyDescent="0.3">
      <c r="A873" s="2" t="s">
        <v>237</v>
      </c>
      <c r="B873" s="2" t="s">
        <v>1033</v>
      </c>
      <c r="C873" s="5" t="s">
        <v>1702</v>
      </c>
      <c r="D873" s="2" t="s">
        <v>1703</v>
      </c>
    </row>
    <row r="874" spans="1:4" ht="13.05" customHeight="1" x14ac:dyDescent="0.3">
      <c r="A874" s="2" t="s">
        <v>237</v>
      </c>
      <c r="B874" s="2" t="s">
        <v>1033</v>
      </c>
      <c r="C874" s="5" t="s">
        <v>1704</v>
      </c>
      <c r="D874" s="2" t="s">
        <v>1705</v>
      </c>
    </row>
    <row r="875" spans="1:4" ht="13.05" customHeight="1" x14ac:dyDescent="0.3">
      <c r="A875" s="2" t="s">
        <v>237</v>
      </c>
      <c r="B875" s="2" t="s">
        <v>1033</v>
      </c>
      <c r="C875" s="5" t="s">
        <v>1706</v>
      </c>
      <c r="D875" s="2" t="s">
        <v>1707</v>
      </c>
    </row>
    <row r="876" spans="1:4" ht="13.05" customHeight="1" x14ac:dyDescent="0.3">
      <c r="A876" s="2" t="s">
        <v>237</v>
      </c>
      <c r="B876" s="2" t="s">
        <v>1033</v>
      </c>
      <c r="C876" s="5" t="s">
        <v>1708</v>
      </c>
      <c r="D876" s="2" t="s">
        <v>1709</v>
      </c>
    </row>
    <row r="877" spans="1:4" ht="13.05" customHeight="1" x14ac:dyDescent="0.3">
      <c r="A877" s="2" t="s">
        <v>237</v>
      </c>
      <c r="B877" s="2" t="s">
        <v>1033</v>
      </c>
      <c r="C877" s="5" t="s">
        <v>1710</v>
      </c>
      <c r="D877" s="2" t="s">
        <v>1711</v>
      </c>
    </row>
    <row r="878" spans="1:4" ht="13.05" customHeight="1" x14ac:dyDescent="0.3">
      <c r="A878" s="2" t="s">
        <v>237</v>
      </c>
      <c r="B878" s="2" t="s">
        <v>1033</v>
      </c>
      <c r="C878" s="5" t="s">
        <v>1712</v>
      </c>
      <c r="D878" s="2" t="s">
        <v>1713</v>
      </c>
    </row>
    <row r="879" spans="1:4" ht="13.05" customHeight="1" x14ac:dyDescent="0.3">
      <c r="A879" s="2" t="s">
        <v>237</v>
      </c>
      <c r="B879" s="2" t="s">
        <v>1033</v>
      </c>
      <c r="C879" s="5" t="s">
        <v>1714</v>
      </c>
      <c r="D879" s="2" t="s">
        <v>1715</v>
      </c>
    </row>
    <row r="880" spans="1:4" ht="13.05" customHeight="1" x14ac:dyDescent="0.3">
      <c r="A880" s="2" t="s">
        <v>237</v>
      </c>
      <c r="B880" s="2" t="s">
        <v>1033</v>
      </c>
      <c r="C880" s="5" t="s">
        <v>1716</v>
      </c>
      <c r="D880" s="2" t="s">
        <v>1717</v>
      </c>
    </row>
    <row r="881" spans="1:4" ht="13.05" customHeight="1" x14ac:dyDescent="0.3">
      <c r="A881" s="2" t="s">
        <v>237</v>
      </c>
      <c r="B881" s="2" t="s">
        <v>1033</v>
      </c>
      <c r="C881" s="5" t="s">
        <v>1718</v>
      </c>
      <c r="D881" s="2" t="s">
        <v>1719</v>
      </c>
    </row>
    <row r="882" spans="1:4" ht="13.05" customHeight="1" x14ac:dyDescent="0.3">
      <c r="A882" s="2" t="s">
        <v>237</v>
      </c>
      <c r="B882" s="2" t="s">
        <v>1033</v>
      </c>
      <c r="C882" s="5" t="s">
        <v>1720</v>
      </c>
      <c r="D882" s="2" t="s">
        <v>1721</v>
      </c>
    </row>
    <row r="883" spans="1:4" ht="13.05" customHeight="1" x14ac:dyDescent="0.3">
      <c r="A883" s="2" t="s">
        <v>237</v>
      </c>
      <c r="B883" s="2" t="s">
        <v>1033</v>
      </c>
      <c r="C883" s="5" t="s">
        <v>1722</v>
      </c>
      <c r="D883" s="2" t="s">
        <v>1723</v>
      </c>
    </row>
    <row r="884" spans="1:4" ht="13.05" customHeight="1" x14ac:dyDescent="0.3">
      <c r="A884" s="2" t="s">
        <v>237</v>
      </c>
      <c r="B884" s="2" t="s">
        <v>1033</v>
      </c>
      <c r="C884" s="5" t="s">
        <v>1724</v>
      </c>
      <c r="D884" s="2" t="s">
        <v>1725</v>
      </c>
    </row>
    <row r="885" spans="1:4" ht="13.05" customHeight="1" x14ac:dyDescent="0.3">
      <c r="A885" s="2" t="s">
        <v>237</v>
      </c>
      <c r="B885" s="2" t="s">
        <v>1033</v>
      </c>
      <c r="C885" s="5" t="s">
        <v>1726</v>
      </c>
      <c r="D885" s="2" t="s">
        <v>1727</v>
      </c>
    </row>
    <row r="886" spans="1:4" ht="13.05" customHeight="1" x14ac:dyDescent="0.3">
      <c r="A886" s="2" t="s">
        <v>237</v>
      </c>
      <c r="B886" s="2" t="s">
        <v>1033</v>
      </c>
      <c r="C886" s="5" t="s">
        <v>1728</v>
      </c>
      <c r="D886" s="2" t="s">
        <v>1729</v>
      </c>
    </row>
    <row r="887" spans="1:4" ht="13.05" customHeight="1" x14ac:dyDescent="0.3">
      <c r="A887" s="2" t="s">
        <v>237</v>
      </c>
      <c r="B887" s="2" t="s">
        <v>1033</v>
      </c>
      <c r="C887" s="5" t="s">
        <v>1730</v>
      </c>
      <c r="D887" s="2" t="s">
        <v>1731</v>
      </c>
    </row>
    <row r="888" spans="1:4" ht="13.05" customHeight="1" x14ac:dyDescent="0.3">
      <c r="A888" s="2" t="s">
        <v>237</v>
      </c>
      <c r="B888" s="2" t="s">
        <v>1033</v>
      </c>
      <c r="C888" s="5" t="s">
        <v>1732</v>
      </c>
      <c r="D888" s="2" t="s">
        <v>1733</v>
      </c>
    </row>
    <row r="889" spans="1:4" ht="13.05" customHeight="1" x14ac:dyDescent="0.3">
      <c r="A889" s="2" t="s">
        <v>237</v>
      </c>
      <c r="B889" s="2" t="s">
        <v>1033</v>
      </c>
      <c r="C889" s="5" t="s">
        <v>1734</v>
      </c>
      <c r="D889" s="2" t="s">
        <v>1735</v>
      </c>
    </row>
    <row r="890" spans="1:4" ht="13.05" customHeight="1" x14ac:dyDescent="0.3">
      <c r="A890" s="2" t="s">
        <v>237</v>
      </c>
      <c r="B890" s="2" t="s">
        <v>1033</v>
      </c>
      <c r="C890" s="5" t="s">
        <v>1736</v>
      </c>
      <c r="D890" s="2" t="s">
        <v>1737</v>
      </c>
    </row>
    <row r="891" spans="1:4" ht="13.05" customHeight="1" x14ac:dyDescent="0.3">
      <c r="A891" s="2" t="s">
        <v>237</v>
      </c>
      <c r="B891" s="2" t="s">
        <v>1033</v>
      </c>
      <c r="C891" s="5" t="s">
        <v>1738</v>
      </c>
      <c r="D891" s="2" t="s">
        <v>1739</v>
      </c>
    </row>
    <row r="892" spans="1:4" ht="13.05" customHeight="1" x14ac:dyDescent="0.3">
      <c r="A892" s="2" t="s">
        <v>237</v>
      </c>
      <c r="B892" s="2" t="s">
        <v>1033</v>
      </c>
      <c r="C892" s="5" t="s">
        <v>1740</v>
      </c>
      <c r="D892" s="2" t="s">
        <v>1741</v>
      </c>
    </row>
    <row r="893" spans="1:4" ht="13.05" customHeight="1" x14ac:dyDescent="0.3">
      <c r="A893" s="2" t="s">
        <v>237</v>
      </c>
      <c r="B893" s="2" t="s">
        <v>1033</v>
      </c>
      <c r="C893" s="5" t="s">
        <v>1742</v>
      </c>
      <c r="D893" s="2" t="s">
        <v>1743</v>
      </c>
    </row>
    <row r="894" spans="1:4" ht="13.05" customHeight="1" x14ac:dyDescent="0.3">
      <c r="A894" s="2" t="s">
        <v>237</v>
      </c>
      <c r="B894" s="2" t="s">
        <v>1033</v>
      </c>
      <c r="C894" s="5" t="s">
        <v>1744</v>
      </c>
      <c r="D894" s="2" t="s">
        <v>1745</v>
      </c>
    </row>
    <row r="895" spans="1:4" ht="13.05" customHeight="1" x14ac:dyDescent="0.3">
      <c r="A895" s="2" t="s">
        <v>237</v>
      </c>
      <c r="B895" s="2" t="s">
        <v>1033</v>
      </c>
      <c r="C895" s="5" t="s">
        <v>1746</v>
      </c>
      <c r="D895" s="2" t="s">
        <v>1747</v>
      </c>
    </row>
    <row r="896" spans="1:4" ht="13.05" customHeight="1" x14ac:dyDescent="0.3">
      <c r="A896" s="2" t="s">
        <v>237</v>
      </c>
      <c r="B896" s="2" t="s">
        <v>1033</v>
      </c>
      <c r="C896" s="5" t="s">
        <v>1748</v>
      </c>
      <c r="D896" s="2" t="s">
        <v>1749</v>
      </c>
    </row>
    <row r="897" spans="1:4" ht="13.05" customHeight="1" x14ac:dyDescent="0.3">
      <c r="A897" s="2" t="s">
        <v>237</v>
      </c>
      <c r="B897" s="2" t="s">
        <v>1033</v>
      </c>
      <c r="C897" s="5" t="s">
        <v>1750</v>
      </c>
      <c r="D897" s="2" t="s">
        <v>1751</v>
      </c>
    </row>
    <row r="898" spans="1:4" ht="13.05" customHeight="1" x14ac:dyDescent="0.3">
      <c r="A898" s="2" t="s">
        <v>237</v>
      </c>
      <c r="B898" s="2" t="s">
        <v>1033</v>
      </c>
      <c r="C898" s="5" t="s">
        <v>1752</v>
      </c>
      <c r="D898" s="2" t="s">
        <v>1753</v>
      </c>
    </row>
    <row r="899" spans="1:4" ht="13.05" customHeight="1" x14ac:dyDescent="0.3">
      <c r="A899" s="2" t="s">
        <v>237</v>
      </c>
      <c r="B899" s="2" t="s">
        <v>1033</v>
      </c>
      <c r="C899" s="5" t="s">
        <v>1754</v>
      </c>
      <c r="D899" s="2" t="s">
        <v>1755</v>
      </c>
    </row>
    <row r="900" spans="1:4" ht="13.05" customHeight="1" x14ac:dyDescent="0.3">
      <c r="A900" s="2" t="s">
        <v>237</v>
      </c>
      <c r="B900" s="2" t="s">
        <v>1033</v>
      </c>
      <c r="C900" s="5" t="s">
        <v>1756</v>
      </c>
      <c r="D900" s="2" t="s">
        <v>1757</v>
      </c>
    </row>
    <row r="901" spans="1:4" ht="13.05" customHeight="1" x14ac:dyDescent="0.3">
      <c r="A901" s="2" t="s">
        <v>237</v>
      </c>
      <c r="B901" s="2" t="s">
        <v>1033</v>
      </c>
      <c r="C901" s="5" t="s">
        <v>1758</v>
      </c>
      <c r="D901" s="2" t="s">
        <v>1759</v>
      </c>
    </row>
    <row r="902" spans="1:4" ht="13.05" customHeight="1" x14ac:dyDescent="0.3">
      <c r="A902" s="2" t="s">
        <v>237</v>
      </c>
      <c r="B902" s="2" t="s">
        <v>1033</v>
      </c>
      <c r="C902" s="5" t="s">
        <v>1760</v>
      </c>
      <c r="D902" s="2" t="s">
        <v>1761</v>
      </c>
    </row>
    <row r="903" spans="1:4" ht="13.05" customHeight="1" x14ac:dyDescent="0.3">
      <c r="A903" s="2" t="s">
        <v>237</v>
      </c>
      <c r="B903" s="2" t="s">
        <v>1033</v>
      </c>
      <c r="C903" s="5" t="s">
        <v>1762</v>
      </c>
      <c r="D903" s="2" t="s">
        <v>1763</v>
      </c>
    </row>
    <row r="904" spans="1:4" ht="13.05" customHeight="1" x14ac:dyDescent="0.3">
      <c r="A904" s="2" t="s">
        <v>237</v>
      </c>
      <c r="B904" s="2" t="s">
        <v>1033</v>
      </c>
      <c r="C904" s="5" t="s">
        <v>1764</v>
      </c>
      <c r="D904" s="2" t="s">
        <v>1765</v>
      </c>
    </row>
    <row r="905" spans="1:4" ht="13.05" customHeight="1" x14ac:dyDescent="0.3">
      <c r="A905" s="2" t="s">
        <v>237</v>
      </c>
      <c r="B905" s="2" t="s">
        <v>1033</v>
      </c>
      <c r="C905" s="5" t="s">
        <v>1766</v>
      </c>
      <c r="D905" s="2" t="s">
        <v>1767</v>
      </c>
    </row>
    <row r="906" spans="1:4" ht="13.05" customHeight="1" x14ac:dyDescent="0.3">
      <c r="A906" s="2" t="s">
        <v>237</v>
      </c>
      <c r="B906" s="2" t="s">
        <v>1033</v>
      </c>
      <c r="C906" s="5" t="s">
        <v>1768</v>
      </c>
      <c r="D906" s="2" t="s">
        <v>1769</v>
      </c>
    </row>
    <row r="907" spans="1:4" ht="13.05" customHeight="1" x14ac:dyDescent="0.3">
      <c r="A907" s="2" t="s">
        <v>237</v>
      </c>
      <c r="B907" s="2" t="s">
        <v>1033</v>
      </c>
      <c r="C907" s="5" t="s">
        <v>1770</v>
      </c>
      <c r="D907" s="2" t="s">
        <v>1771</v>
      </c>
    </row>
    <row r="908" spans="1:4" ht="13.05" customHeight="1" x14ac:dyDescent="0.3">
      <c r="A908" s="2" t="s">
        <v>237</v>
      </c>
      <c r="B908" s="2" t="s">
        <v>1033</v>
      </c>
      <c r="C908" s="5" t="s">
        <v>1772</v>
      </c>
      <c r="D908" s="2" t="s">
        <v>1773</v>
      </c>
    </row>
    <row r="909" spans="1:4" ht="13.05" customHeight="1" x14ac:dyDescent="0.3">
      <c r="A909" s="2" t="s">
        <v>237</v>
      </c>
      <c r="B909" s="2" t="s">
        <v>1033</v>
      </c>
      <c r="C909" s="5" t="s">
        <v>1774</v>
      </c>
      <c r="D909" s="2" t="s">
        <v>1775</v>
      </c>
    </row>
    <row r="910" spans="1:4" ht="13.05" customHeight="1" x14ac:dyDescent="0.3">
      <c r="A910" s="2" t="s">
        <v>237</v>
      </c>
      <c r="B910" s="2" t="s">
        <v>1033</v>
      </c>
      <c r="C910" s="5" t="s">
        <v>1776</v>
      </c>
      <c r="D910" s="2" t="s">
        <v>1777</v>
      </c>
    </row>
    <row r="911" spans="1:4" ht="13.05" customHeight="1" x14ac:dyDescent="0.3">
      <c r="A911" s="2" t="s">
        <v>237</v>
      </c>
      <c r="B911" s="2" t="s">
        <v>1033</v>
      </c>
      <c r="C911" s="5" t="s">
        <v>1778</v>
      </c>
      <c r="D911" s="2" t="s">
        <v>1779</v>
      </c>
    </row>
    <row r="912" spans="1:4" ht="13.05" customHeight="1" x14ac:dyDescent="0.3">
      <c r="A912" s="2" t="s">
        <v>237</v>
      </c>
      <c r="B912" s="2" t="s">
        <v>1033</v>
      </c>
      <c r="C912" s="5" t="s">
        <v>1780</v>
      </c>
      <c r="D912" s="2" t="s">
        <v>1781</v>
      </c>
    </row>
    <row r="913" spans="1:4" ht="13.05" customHeight="1" x14ac:dyDescent="0.3">
      <c r="A913" s="2" t="s">
        <v>237</v>
      </c>
      <c r="B913" s="2" t="s">
        <v>1033</v>
      </c>
      <c r="C913" s="5" t="s">
        <v>1782</v>
      </c>
      <c r="D913" s="2" t="s">
        <v>1783</v>
      </c>
    </row>
    <row r="914" spans="1:4" ht="13.05" customHeight="1" x14ac:dyDescent="0.3">
      <c r="A914" s="2" t="s">
        <v>237</v>
      </c>
      <c r="B914" s="2" t="s">
        <v>1033</v>
      </c>
      <c r="C914" s="5" t="s">
        <v>1784</v>
      </c>
      <c r="D914" s="2" t="s">
        <v>1785</v>
      </c>
    </row>
    <row r="915" spans="1:4" ht="13.05" customHeight="1" x14ac:dyDescent="0.3">
      <c r="A915" s="2" t="s">
        <v>237</v>
      </c>
      <c r="B915" s="2" t="s">
        <v>1033</v>
      </c>
      <c r="C915" s="5" t="s">
        <v>1786</v>
      </c>
      <c r="D915" s="2" t="s">
        <v>1787</v>
      </c>
    </row>
    <row r="916" spans="1:4" ht="13.05" customHeight="1" x14ac:dyDescent="0.3">
      <c r="A916" s="2" t="s">
        <v>237</v>
      </c>
      <c r="B916" s="2" t="s">
        <v>1033</v>
      </c>
      <c r="C916" s="5" t="s">
        <v>1788</v>
      </c>
      <c r="D916" s="2" t="s">
        <v>1789</v>
      </c>
    </row>
    <row r="917" spans="1:4" ht="13.05" customHeight="1" x14ac:dyDescent="0.3">
      <c r="A917" s="2" t="s">
        <v>237</v>
      </c>
      <c r="B917" s="2" t="s">
        <v>1033</v>
      </c>
      <c r="C917" s="5" t="s">
        <v>1790</v>
      </c>
      <c r="D917" s="2" t="s">
        <v>1791</v>
      </c>
    </row>
    <row r="918" spans="1:4" ht="13.05" customHeight="1" x14ac:dyDescent="0.3">
      <c r="A918" s="2" t="s">
        <v>237</v>
      </c>
      <c r="B918" s="2" t="s">
        <v>1033</v>
      </c>
      <c r="C918" s="5" t="s">
        <v>1792</v>
      </c>
      <c r="D918" s="2" t="s">
        <v>1793</v>
      </c>
    </row>
    <row r="919" spans="1:4" ht="13.05" customHeight="1" x14ac:dyDescent="0.3">
      <c r="A919" s="2" t="s">
        <v>237</v>
      </c>
      <c r="B919" s="2" t="s">
        <v>1033</v>
      </c>
      <c r="C919" s="5" t="s">
        <v>1794</v>
      </c>
      <c r="D919" s="2" t="s">
        <v>1795</v>
      </c>
    </row>
    <row r="920" spans="1:4" ht="13.05" customHeight="1" x14ac:dyDescent="0.3">
      <c r="A920" s="2" t="s">
        <v>237</v>
      </c>
      <c r="B920" s="2" t="s">
        <v>1033</v>
      </c>
      <c r="C920" s="5" t="s">
        <v>1796</v>
      </c>
      <c r="D920" s="2" t="s">
        <v>1797</v>
      </c>
    </row>
    <row r="921" spans="1:4" ht="13.05" customHeight="1" x14ac:dyDescent="0.3">
      <c r="A921" s="2" t="s">
        <v>237</v>
      </c>
      <c r="B921" s="2" t="s">
        <v>1033</v>
      </c>
      <c r="C921" s="5" t="s">
        <v>1798</v>
      </c>
      <c r="D921" s="2" t="s">
        <v>1799</v>
      </c>
    </row>
    <row r="922" spans="1:4" ht="13.05" customHeight="1" x14ac:dyDescent="0.3">
      <c r="A922" s="2" t="s">
        <v>237</v>
      </c>
      <c r="B922" s="2" t="s">
        <v>1033</v>
      </c>
      <c r="C922" s="5" t="s">
        <v>1800</v>
      </c>
      <c r="D922" s="2" t="s">
        <v>1801</v>
      </c>
    </row>
    <row r="923" spans="1:4" ht="13.05" customHeight="1" x14ac:dyDescent="0.3">
      <c r="A923" s="2" t="s">
        <v>237</v>
      </c>
      <c r="B923" s="2" t="s">
        <v>1033</v>
      </c>
      <c r="C923" s="5" t="s">
        <v>1802</v>
      </c>
      <c r="D923" s="2" t="s">
        <v>1803</v>
      </c>
    </row>
    <row r="924" spans="1:4" ht="13.05" customHeight="1" x14ac:dyDescent="0.3">
      <c r="A924" s="2" t="s">
        <v>237</v>
      </c>
      <c r="B924" s="2" t="s">
        <v>1033</v>
      </c>
      <c r="C924" s="5" t="s">
        <v>1804</v>
      </c>
      <c r="D924" s="2" t="s">
        <v>1805</v>
      </c>
    </row>
    <row r="925" spans="1:4" ht="13.05" customHeight="1" x14ac:dyDescent="0.3">
      <c r="A925" s="2" t="s">
        <v>237</v>
      </c>
      <c r="B925" s="2" t="s">
        <v>1033</v>
      </c>
      <c r="C925" s="5" t="s">
        <v>1806</v>
      </c>
      <c r="D925" s="2" t="s">
        <v>1807</v>
      </c>
    </row>
    <row r="926" spans="1:4" ht="13.05" customHeight="1" x14ac:dyDescent="0.3">
      <c r="A926" s="2" t="s">
        <v>237</v>
      </c>
      <c r="B926" s="2" t="s">
        <v>1033</v>
      </c>
      <c r="C926" s="5" t="s">
        <v>1808</v>
      </c>
      <c r="D926" s="2" t="s">
        <v>1809</v>
      </c>
    </row>
    <row r="927" spans="1:4" ht="13.05" customHeight="1" x14ac:dyDescent="0.3">
      <c r="A927" s="2" t="s">
        <v>237</v>
      </c>
      <c r="B927" s="2" t="s">
        <v>1033</v>
      </c>
      <c r="C927" s="5" t="s">
        <v>1810</v>
      </c>
      <c r="D927" s="2" t="s">
        <v>1811</v>
      </c>
    </row>
    <row r="928" spans="1:4" ht="13.05" customHeight="1" x14ac:dyDescent="0.3">
      <c r="A928" s="2" t="s">
        <v>237</v>
      </c>
      <c r="B928" s="2" t="s">
        <v>1033</v>
      </c>
      <c r="C928" s="5" t="s">
        <v>1812</v>
      </c>
      <c r="D928" s="2" t="s">
        <v>1813</v>
      </c>
    </row>
    <row r="929" spans="1:4" ht="13.05" customHeight="1" x14ac:dyDescent="0.3">
      <c r="A929" s="2" t="s">
        <v>237</v>
      </c>
      <c r="B929" s="2" t="s">
        <v>1033</v>
      </c>
      <c r="C929" s="5" t="s">
        <v>1814</v>
      </c>
      <c r="D929" s="2" t="s">
        <v>1815</v>
      </c>
    </row>
    <row r="930" spans="1:4" ht="13.05" customHeight="1" x14ac:dyDescent="0.3">
      <c r="A930" s="2" t="s">
        <v>237</v>
      </c>
      <c r="B930" s="2" t="s">
        <v>1033</v>
      </c>
      <c r="C930" s="5" t="s">
        <v>1816</v>
      </c>
      <c r="D930" s="2" t="s">
        <v>1817</v>
      </c>
    </row>
    <row r="931" spans="1:4" ht="13.05" customHeight="1" x14ac:dyDescent="0.3">
      <c r="A931" s="2" t="s">
        <v>237</v>
      </c>
      <c r="B931" s="2" t="s">
        <v>1033</v>
      </c>
      <c r="C931" s="5" t="s">
        <v>1818</v>
      </c>
      <c r="D931" s="2" t="s">
        <v>1819</v>
      </c>
    </row>
    <row r="932" spans="1:4" ht="13.05" customHeight="1" x14ac:dyDescent="0.3">
      <c r="A932" s="2" t="s">
        <v>237</v>
      </c>
      <c r="B932" s="2" t="s">
        <v>1033</v>
      </c>
      <c r="C932" s="5" t="s">
        <v>1820</v>
      </c>
      <c r="D932" s="2" t="s">
        <v>1821</v>
      </c>
    </row>
    <row r="933" spans="1:4" ht="13.05" customHeight="1" x14ac:dyDescent="0.3">
      <c r="A933" s="2" t="s">
        <v>237</v>
      </c>
      <c r="B933" s="2" t="s">
        <v>1033</v>
      </c>
      <c r="C933" s="5" t="s">
        <v>1822</v>
      </c>
      <c r="D933" s="2" t="s">
        <v>1823</v>
      </c>
    </row>
    <row r="934" spans="1:4" ht="13.05" customHeight="1" x14ac:dyDescent="0.3">
      <c r="A934" s="2" t="s">
        <v>237</v>
      </c>
      <c r="B934" s="2" t="s">
        <v>1033</v>
      </c>
      <c r="C934" s="5" t="s">
        <v>1824</v>
      </c>
      <c r="D934" s="2" t="s">
        <v>1825</v>
      </c>
    </row>
    <row r="935" spans="1:4" ht="13.05" customHeight="1" x14ac:dyDescent="0.3">
      <c r="A935" s="2" t="s">
        <v>237</v>
      </c>
      <c r="B935" s="2" t="s">
        <v>1033</v>
      </c>
      <c r="C935" s="5" t="s">
        <v>1826</v>
      </c>
      <c r="D935" s="2" t="s">
        <v>1827</v>
      </c>
    </row>
    <row r="936" spans="1:4" ht="13.05" customHeight="1" x14ac:dyDescent="0.3">
      <c r="A936" s="2" t="s">
        <v>237</v>
      </c>
      <c r="B936" s="2" t="s">
        <v>1033</v>
      </c>
      <c r="C936" s="5" t="s">
        <v>1828</v>
      </c>
      <c r="D936" s="2" t="s">
        <v>1829</v>
      </c>
    </row>
    <row r="937" spans="1:4" ht="13.05" customHeight="1" x14ac:dyDescent="0.3">
      <c r="A937" s="2" t="s">
        <v>237</v>
      </c>
      <c r="B937" s="2" t="s">
        <v>1033</v>
      </c>
      <c r="C937" s="5" t="s">
        <v>1830</v>
      </c>
      <c r="D937" s="2" t="s">
        <v>1831</v>
      </c>
    </row>
    <row r="938" spans="1:4" ht="13.05" customHeight="1" x14ac:dyDescent="0.3">
      <c r="A938" s="2" t="s">
        <v>237</v>
      </c>
      <c r="B938" s="2" t="s">
        <v>1033</v>
      </c>
      <c r="C938" s="5" t="s">
        <v>1832</v>
      </c>
      <c r="D938" s="2" t="s">
        <v>1833</v>
      </c>
    </row>
    <row r="939" spans="1:4" ht="13.05" customHeight="1" x14ac:dyDescent="0.3">
      <c r="A939" s="2" t="s">
        <v>237</v>
      </c>
      <c r="B939" s="2" t="s">
        <v>1033</v>
      </c>
      <c r="C939" s="5" t="s">
        <v>1834</v>
      </c>
      <c r="D939" s="2" t="s">
        <v>1835</v>
      </c>
    </row>
    <row r="940" spans="1:4" ht="13.05" customHeight="1" x14ac:dyDescent="0.3">
      <c r="A940" s="2" t="s">
        <v>237</v>
      </c>
      <c r="B940" s="2" t="s">
        <v>1033</v>
      </c>
      <c r="C940" s="5" t="s">
        <v>1836</v>
      </c>
      <c r="D940" s="2" t="s">
        <v>1837</v>
      </c>
    </row>
    <row r="941" spans="1:4" ht="13.05" customHeight="1" x14ac:dyDescent="0.3">
      <c r="A941" s="2" t="s">
        <v>237</v>
      </c>
      <c r="B941" s="2" t="s">
        <v>1033</v>
      </c>
      <c r="C941" s="5" t="s">
        <v>1838</v>
      </c>
      <c r="D941" s="2" t="s">
        <v>1839</v>
      </c>
    </row>
    <row r="942" spans="1:4" ht="13.05" customHeight="1" x14ac:dyDescent="0.3">
      <c r="A942" s="2" t="s">
        <v>237</v>
      </c>
      <c r="B942" s="2" t="s">
        <v>1033</v>
      </c>
      <c r="C942" s="5" t="s">
        <v>1840</v>
      </c>
      <c r="D942" s="2" t="s">
        <v>1841</v>
      </c>
    </row>
    <row r="943" spans="1:4" ht="13.05" customHeight="1" x14ac:dyDescent="0.3">
      <c r="A943" s="2" t="s">
        <v>237</v>
      </c>
      <c r="B943" s="2" t="s">
        <v>1033</v>
      </c>
      <c r="C943" s="5" t="s">
        <v>1842</v>
      </c>
      <c r="D943" s="2" t="s">
        <v>1843</v>
      </c>
    </row>
    <row r="944" spans="1:4" ht="13.05" customHeight="1" x14ac:dyDescent="0.3">
      <c r="A944" s="2" t="s">
        <v>237</v>
      </c>
      <c r="B944" s="2" t="s">
        <v>1033</v>
      </c>
      <c r="C944" s="5" t="s">
        <v>1844</v>
      </c>
      <c r="D944" s="2" t="s">
        <v>1845</v>
      </c>
    </row>
    <row r="945" spans="1:4" ht="13.05" customHeight="1" x14ac:dyDescent="0.3">
      <c r="A945" s="2" t="s">
        <v>237</v>
      </c>
      <c r="B945" s="2" t="s">
        <v>1033</v>
      </c>
      <c r="C945" s="5" t="s">
        <v>1846</v>
      </c>
      <c r="D945" s="2" t="s">
        <v>1847</v>
      </c>
    </row>
    <row r="946" spans="1:4" ht="13.05" customHeight="1" x14ac:dyDescent="0.3">
      <c r="A946" s="2" t="s">
        <v>237</v>
      </c>
      <c r="B946" s="2" t="s">
        <v>1033</v>
      </c>
      <c r="C946" s="5" t="s">
        <v>1848</v>
      </c>
      <c r="D946" s="2" t="s">
        <v>1849</v>
      </c>
    </row>
    <row r="947" spans="1:4" ht="13.05" customHeight="1" x14ac:dyDescent="0.3">
      <c r="A947" s="2" t="s">
        <v>237</v>
      </c>
      <c r="B947" s="2" t="s">
        <v>1033</v>
      </c>
      <c r="C947" s="5" t="s">
        <v>1850</v>
      </c>
      <c r="D947" s="2" t="s">
        <v>1851</v>
      </c>
    </row>
    <row r="948" spans="1:4" ht="13.05" customHeight="1" x14ac:dyDescent="0.3">
      <c r="A948" s="2" t="s">
        <v>237</v>
      </c>
      <c r="B948" s="2" t="s">
        <v>1033</v>
      </c>
      <c r="C948" s="5" t="s">
        <v>1852</v>
      </c>
      <c r="D948" s="2" t="s">
        <v>1853</v>
      </c>
    </row>
    <row r="949" spans="1:4" ht="13.05" customHeight="1" x14ac:dyDescent="0.3">
      <c r="A949" s="2" t="s">
        <v>237</v>
      </c>
      <c r="B949" s="2" t="s">
        <v>1033</v>
      </c>
      <c r="C949" s="5" t="s">
        <v>1854</v>
      </c>
      <c r="D949" s="2" t="s">
        <v>1855</v>
      </c>
    </row>
    <row r="950" spans="1:4" ht="13.05" customHeight="1" x14ac:dyDescent="0.3">
      <c r="A950" s="2" t="s">
        <v>237</v>
      </c>
      <c r="B950" s="2" t="s">
        <v>1033</v>
      </c>
      <c r="C950" s="5" t="s">
        <v>1856</v>
      </c>
      <c r="D950" s="2" t="s">
        <v>1857</v>
      </c>
    </row>
    <row r="951" spans="1:4" ht="13.05" customHeight="1" x14ac:dyDescent="0.3">
      <c r="A951" s="2" t="s">
        <v>237</v>
      </c>
      <c r="B951" s="2" t="s">
        <v>1033</v>
      </c>
      <c r="C951" s="5" t="s">
        <v>1858</v>
      </c>
      <c r="D951" s="2" t="s">
        <v>1859</v>
      </c>
    </row>
    <row r="952" spans="1:4" ht="13.05" customHeight="1" x14ac:dyDescent="0.3">
      <c r="A952" s="2" t="s">
        <v>237</v>
      </c>
      <c r="B952" s="2" t="s">
        <v>1033</v>
      </c>
      <c r="C952" s="5" t="s">
        <v>1860</v>
      </c>
      <c r="D952" s="2" t="s">
        <v>1861</v>
      </c>
    </row>
    <row r="953" spans="1:4" ht="13.05" customHeight="1" x14ac:dyDescent="0.3">
      <c r="A953" s="2" t="s">
        <v>237</v>
      </c>
      <c r="B953" s="2" t="s">
        <v>1033</v>
      </c>
      <c r="C953" s="5" t="s">
        <v>1862</v>
      </c>
      <c r="D953" s="2" t="s">
        <v>1863</v>
      </c>
    </row>
    <row r="954" spans="1:4" ht="13.05" customHeight="1" x14ac:dyDescent="0.3">
      <c r="A954" s="2" t="s">
        <v>237</v>
      </c>
      <c r="B954" s="2" t="s">
        <v>1033</v>
      </c>
      <c r="C954" s="5" t="s">
        <v>1864</v>
      </c>
      <c r="D954" s="2" t="s">
        <v>1865</v>
      </c>
    </row>
    <row r="955" spans="1:4" ht="13.05" customHeight="1" x14ac:dyDescent="0.3">
      <c r="A955" s="2" t="s">
        <v>237</v>
      </c>
      <c r="B955" s="2" t="s">
        <v>1033</v>
      </c>
      <c r="C955" s="5" t="s">
        <v>1866</v>
      </c>
      <c r="D955" s="2" t="s">
        <v>1867</v>
      </c>
    </row>
    <row r="956" spans="1:4" ht="13.05" customHeight="1" x14ac:dyDescent="0.3">
      <c r="A956" s="2" t="s">
        <v>237</v>
      </c>
      <c r="B956" s="2" t="s">
        <v>1033</v>
      </c>
      <c r="C956" s="5" t="s">
        <v>1868</v>
      </c>
      <c r="D956" s="2" t="s">
        <v>1869</v>
      </c>
    </row>
    <row r="957" spans="1:4" ht="13.05" customHeight="1" x14ac:dyDescent="0.3">
      <c r="A957" s="2" t="s">
        <v>237</v>
      </c>
      <c r="B957" s="2" t="s">
        <v>1033</v>
      </c>
      <c r="C957" s="5" t="s">
        <v>1870</v>
      </c>
      <c r="D957" s="2" t="s">
        <v>1871</v>
      </c>
    </row>
    <row r="958" spans="1:4" ht="13.05" customHeight="1" x14ac:dyDescent="0.3">
      <c r="A958" s="2" t="s">
        <v>237</v>
      </c>
      <c r="B958" s="2" t="s">
        <v>1033</v>
      </c>
      <c r="C958" s="5" t="s">
        <v>1872</v>
      </c>
      <c r="D958" s="2" t="s">
        <v>1873</v>
      </c>
    </row>
    <row r="959" spans="1:4" ht="13.05" customHeight="1" x14ac:dyDescent="0.3">
      <c r="A959" s="2" t="s">
        <v>237</v>
      </c>
      <c r="B959" s="2" t="s">
        <v>1033</v>
      </c>
      <c r="C959" s="5" t="s">
        <v>1874</v>
      </c>
      <c r="D959" s="2" t="s">
        <v>1875</v>
      </c>
    </row>
    <row r="960" spans="1:4" ht="13.05" customHeight="1" x14ac:dyDescent="0.3">
      <c r="A960" s="2" t="s">
        <v>237</v>
      </c>
      <c r="B960" s="2" t="s">
        <v>1033</v>
      </c>
      <c r="C960" s="5" t="s">
        <v>1876</v>
      </c>
      <c r="D960" s="2" t="s">
        <v>1877</v>
      </c>
    </row>
    <row r="961" spans="1:4" ht="13.05" customHeight="1" x14ac:dyDescent="0.3">
      <c r="A961" s="2" t="s">
        <v>237</v>
      </c>
      <c r="B961" s="2" t="s">
        <v>1033</v>
      </c>
      <c r="C961" s="5" t="s">
        <v>1878</v>
      </c>
      <c r="D961" s="2" t="s">
        <v>1879</v>
      </c>
    </row>
    <row r="962" spans="1:4" ht="13.05" customHeight="1" x14ac:dyDescent="0.3">
      <c r="A962" s="2" t="s">
        <v>237</v>
      </c>
      <c r="B962" s="2" t="s">
        <v>1033</v>
      </c>
      <c r="C962" s="5" t="s">
        <v>1880</v>
      </c>
      <c r="D962" s="2" t="s">
        <v>1881</v>
      </c>
    </row>
    <row r="963" spans="1:4" ht="13.05" customHeight="1" x14ac:dyDescent="0.3">
      <c r="A963" s="2" t="s">
        <v>237</v>
      </c>
      <c r="B963" s="2" t="s">
        <v>1033</v>
      </c>
      <c r="C963" s="5" t="s">
        <v>1882</v>
      </c>
      <c r="D963" s="2" t="s">
        <v>1883</v>
      </c>
    </row>
    <row r="964" spans="1:4" ht="13.05" customHeight="1" x14ac:dyDescent="0.3">
      <c r="A964" s="2" t="s">
        <v>237</v>
      </c>
      <c r="B964" s="2" t="s">
        <v>1033</v>
      </c>
      <c r="C964" s="5" t="s">
        <v>1884</v>
      </c>
      <c r="D964" s="2" t="s">
        <v>1885</v>
      </c>
    </row>
    <row r="965" spans="1:4" ht="13.05" customHeight="1" x14ac:dyDescent="0.3">
      <c r="A965" s="2" t="s">
        <v>237</v>
      </c>
      <c r="B965" s="2" t="s">
        <v>1033</v>
      </c>
      <c r="C965" s="5" t="s">
        <v>1886</v>
      </c>
      <c r="D965" s="2" t="s">
        <v>1887</v>
      </c>
    </row>
    <row r="966" spans="1:4" ht="13.05" customHeight="1" x14ac:dyDescent="0.3">
      <c r="A966" s="2" t="s">
        <v>237</v>
      </c>
      <c r="B966" s="2" t="s">
        <v>1033</v>
      </c>
      <c r="C966" s="5" t="s">
        <v>1888</v>
      </c>
      <c r="D966" s="2" t="s">
        <v>1889</v>
      </c>
    </row>
    <row r="967" spans="1:4" ht="13.05" customHeight="1" x14ac:dyDescent="0.3">
      <c r="A967" s="2" t="s">
        <v>237</v>
      </c>
      <c r="B967" s="2" t="s">
        <v>1033</v>
      </c>
      <c r="C967" s="5" t="s">
        <v>1890</v>
      </c>
      <c r="D967" s="2" t="s">
        <v>1891</v>
      </c>
    </row>
    <row r="968" spans="1:4" ht="13.05" customHeight="1" x14ac:dyDescent="0.3">
      <c r="A968" s="2" t="s">
        <v>237</v>
      </c>
      <c r="B968" s="2" t="s">
        <v>1033</v>
      </c>
      <c r="C968" s="5" t="s">
        <v>1892</v>
      </c>
      <c r="D968" s="2" t="s">
        <v>1893</v>
      </c>
    </row>
    <row r="969" spans="1:4" ht="13.05" customHeight="1" x14ac:dyDescent="0.3">
      <c r="A969" s="2" t="s">
        <v>237</v>
      </c>
      <c r="B969" s="2" t="s">
        <v>1033</v>
      </c>
      <c r="C969" s="5" t="s">
        <v>1894</v>
      </c>
      <c r="D969" s="2" t="s">
        <v>1895</v>
      </c>
    </row>
    <row r="970" spans="1:4" ht="13.05" customHeight="1" x14ac:dyDescent="0.3">
      <c r="A970" s="2" t="s">
        <v>237</v>
      </c>
      <c r="B970" s="2" t="s">
        <v>1033</v>
      </c>
      <c r="C970" s="5" t="s">
        <v>1896</v>
      </c>
      <c r="D970" s="2" t="s">
        <v>1897</v>
      </c>
    </row>
    <row r="971" spans="1:4" ht="13.05" customHeight="1" x14ac:dyDescent="0.3">
      <c r="A971" s="2" t="s">
        <v>237</v>
      </c>
      <c r="B971" s="2" t="s">
        <v>1033</v>
      </c>
      <c r="C971" s="5" t="s">
        <v>1898</v>
      </c>
      <c r="D971" s="2" t="s">
        <v>1899</v>
      </c>
    </row>
    <row r="972" spans="1:4" ht="13.05" customHeight="1" x14ac:dyDescent="0.3">
      <c r="A972" s="2" t="s">
        <v>237</v>
      </c>
      <c r="B972" s="2" t="s">
        <v>1033</v>
      </c>
      <c r="C972" s="5" t="s">
        <v>1900</v>
      </c>
      <c r="D972" s="2" t="s">
        <v>1901</v>
      </c>
    </row>
    <row r="973" spans="1:4" ht="13.05" customHeight="1" x14ac:dyDescent="0.3">
      <c r="A973" s="2" t="s">
        <v>237</v>
      </c>
      <c r="B973" s="2" t="s">
        <v>1033</v>
      </c>
      <c r="C973" s="5" t="s">
        <v>1902</v>
      </c>
      <c r="D973" s="2" t="s">
        <v>1903</v>
      </c>
    </row>
    <row r="974" spans="1:4" ht="13.05" customHeight="1" x14ac:dyDescent="0.3">
      <c r="A974" s="2" t="s">
        <v>237</v>
      </c>
      <c r="B974" s="2" t="s">
        <v>1033</v>
      </c>
      <c r="C974" s="5" t="s">
        <v>1904</v>
      </c>
      <c r="D974" s="2" t="s">
        <v>1905</v>
      </c>
    </row>
    <row r="975" spans="1:4" ht="13.05" customHeight="1" x14ac:dyDescent="0.3">
      <c r="A975" s="2" t="s">
        <v>237</v>
      </c>
      <c r="B975" s="2" t="s">
        <v>1033</v>
      </c>
      <c r="C975" s="5" t="s">
        <v>1906</v>
      </c>
      <c r="D975" s="2" t="s">
        <v>1907</v>
      </c>
    </row>
    <row r="976" spans="1:4" ht="13.05" customHeight="1" x14ac:dyDescent="0.3">
      <c r="A976" s="2" t="s">
        <v>237</v>
      </c>
      <c r="B976" s="2" t="s">
        <v>1033</v>
      </c>
      <c r="C976" s="5" t="s">
        <v>1908</v>
      </c>
      <c r="D976" s="2" t="s">
        <v>1909</v>
      </c>
    </row>
    <row r="977" spans="1:4" ht="13.05" customHeight="1" x14ac:dyDescent="0.3">
      <c r="A977" s="2" t="s">
        <v>237</v>
      </c>
      <c r="B977" s="2" t="s">
        <v>1033</v>
      </c>
      <c r="C977" s="5" t="s">
        <v>1910</v>
      </c>
      <c r="D977" s="2" t="s">
        <v>1911</v>
      </c>
    </row>
    <row r="978" spans="1:4" ht="13.05" customHeight="1" x14ac:dyDescent="0.3">
      <c r="A978" s="2" t="s">
        <v>237</v>
      </c>
      <c r="B978" s="2" t="s">
        <v>1033</v>
      </c>
      <c r="C978" s="5" t="s">
        <v>1912</v>
      </c>
      <c r="D978" s="2" t="s">
        <v>1913</v>
      </c>
    </row>
    <row r="979" spans="1:4" ht="13.05" customHeight="1" x14ac:dyDescent="0.3">
      <c r="A979" s="2" t="s">
        <v>237</v>
      </c>
      <c r="B979" s="2" t="s">
        <v>1033</v>
      </c>
      <c r="C979" s="5" t="s">
        <v>1914</v>
      </c>
      <c r="D979" s="2" t="s">
        <v>1915</v>
      </c>
    </row>
    <row r="980" spans="1:4" ht="13.05" customHeight="1" x14ac:dyDescent="0.3">
      <c r="A980" s="2" t="s">
        <v>237</v>
      </c>
      <c r="B980" s="2" t="s">
        <v>1033</v>
      </c>
      <c r="C980" s="5" t="s">
        <v>1916</v>
      </c>
      <c r="D980" s="2" t="s">
        <v>1917</v>
      </c>
    </row>
    <row r="981" spans="1:4" ht="13.05" customHeight="1" x14ac:dyDescent="0.3">
      <c r="A981" s="2" t="s">
        <v>237</v>
      </c>
      <c r="B981" s="2" t="s">
        <v>1033</v>
      </c>
      <c r="C981" s="5" t="s">
        <v>1918</v>
      </c>
      <c r="D981" s="2" t="s">
        <v>1919</v>
      </c>
    </row>
    <row r="982" spans="1:4" ht="13.05" customHeight="1" x14ac:dyDescent="0.3">
      <c r="A982" s="2" t="s">
        <v>237</v>
      </c>
      <c r="B982" s="2" t="s">
        <v>1033</v>
      </c>
      <c r="C982" s="5" t="s">
        <v>1920</v>
      </c>
      <c r="D982" s="2" t="s">
        <v>1921</v>
      </c>
    </row>
    <row r="983" spans="1:4" ht="13.05" customHeight="1" x14ac:dyDescent="0.3">
      <c r="A983" s="2" t="s">
        <v>237</v>
      </c>
      <c r="B983" s="2" t="s">
        <v>1033</v>
      </c>
      <c r="C983" s="5" t="s">
        <v>1922</v>
      </c>
      <c r="D983" s="2" t="s">
        <v>1923</v>
      </c>
    </row>
    <row r="984" spans="1:4" ht="13.05" customHeight="1" x14ac:dyDescent="0.3">
      <c r="A984" s="2" t="s">
        <v>237</v>
      </c>
      <c r="B984" s="2" t="s">
        <v>1033</v>
      </c>
      <c r="C984" s="5" t="s">
        <v>1924</v>
      </c>
      <c r="D984" s="2" t="s">
        <v>1925</v>
      </c>
    </row>
    <row r="985" spans="1:4" ht="13.05" customHeight="1" x14ac:dyDescent="0.3">
      <c r="A985" s="2" t="s">
        <v>237</v>
      </c>
      <c r="B985" s="2" t="s">
        <v>1033</v>
      </c>
      <c r="C985" s="5" t="s">
        <v>1926</v>
      </c>
      <c r="D985" s="2" t="s">
        <v>1927</v>
      </c>
    </row>
    <row r="986" spans="1:4" ht="13.05" customHeight="1" x14ac:dyDescent="0.3">
      <c r="A986" s="2" t="s">
        <v>237</v>
      </c>
      <c r="B986" s="2" t="s">
        <v>1033</v>
      </c>
      <c r="C986" s="5" t="s">
        <v>1928</v>
      </c>
      <c r="D986" s="2" t="s">
        <v>1929</v>
      </c>
    </row>
    <row r="987" spans="1:4" ht="13.05" customHeight="1" x14ac:dyDescent="0.3">
      <c r="A987" s="2" t="s">
        <v>237</v>
      </c>
      <c r="B987" s="2" t="s">
        <v>1033</v>
      </c>
      <c r="C987" s="5" t="s">
        <v>1930</v>
      </c>
      <c r="D987" s="2" t="s">
        <v>1931</v>
      </c>
    </row>
    <row r="988" spans="1:4" ht="13.05" customHeight="1" x14ac:dyDescent="0.3">
      <c r="A988" s="2" t="s">
        <v>237</v>
      </c>
      <c r="B988" s="2" t="s">
        <v>1033</v>
      </c>
      <c r="C988" s="5" t="s">
        <v>1932</v>
      </c>
      <c r="D988" s="2" t="s">
        <v>1933</v>
      </c>
    </row>
    <row r="989" spans="1:4" ht="13.05" customHeight="1" x14ac:dyDescent="0.3">
      <c r="A989" s="2" t="s">
        <v>237</v>
      </c>
      <c r="B989" s="2" t="s">
        <v>1033</v>
      </c>
      <c r="C989" s="5" t="s">
        <v>1934</v>
      </c>
      <c r="D989" s="2" t="s">
        <v>1935</v>
      </c>
    </row>
    <row r="990" spans="1:4" ht="13.05" customHeight="1" x14ac:dyDescent="0.3">
      <c r="A990" s="2" t="s">
        <v>237</v>
      </c>
      <c r="B990" s="2" t="s">
        <v>1033</v>
      </c>
      <c r="C990" s="5" t="s">
        <v>1936</v>
      </c>
      <c r="D990" s="2" t="s">
        <v>1937</v>
      </c>
    </row>
    <row r="991" spans="1:4" ht="13.05" customHeight="1" x14ac:dyDescent="0.3">
      <c r="A991" s="2" t="s">
        <v>237</v>
      </c>
      <c r="B991" s="2" t="s">
        <v>1033</v>
      </c>
      <c r="C991" s="5" t="s">
        <v>1938</v>
      </c>
      <c r="D991" s="2" t="s">
        <v>1939</v>
      </c>
    </row>
    <row r="992" spans="1:4" ht="13.05" customHeight="1" x14ac:dyDescent="0.3">
      <c r="A992" s="2" t="s">
        <v>237</v>
      </c>
      <c r="B992" s="2" t="s">
        <v>1033</v>
      </c>
      <c r="C992" s="5" t="s">
        <v>1940</v>
      </c>
      <c r="D992" s="2" t="s">
        <v>1941</v>
      </c>
    </row>
    <row r="993" spans="1:4" ht="13.05" customHeight="1" x14ac:dyDescent="0.3">
      <c r="A993" s="2" t="s">
        <v>237</v>
      </c>
      <c r="B993" s="2" t="s">
        <v>1033</v>
      </c>
      <c r="C993" s="5" t="s">
        <v>1942</v>
      </c>
      <c r="D993" s="2" t="s">
        <v>1943</v>
      </c>
    </row>
    <row r="994" spans="1:4" ht="13.05" customHeight="1" x14ac:dyDescent="0.3">
      <c r="A994" s="2" t="s">
        <v>237</v>
      </c>
      <c r="B994" s="2" t="s">
        <v>1033</v>
      </c>
      <c r="C994" s="5" t="s">
        <v>1944</v>
      </c>
      <c r="D994" s="2" t="s">
        <v>1945</v>
      </c>
    </row>
    <row r="995" spans="1:4" ht="13.05" customHeight="1" x14ac:dyDescent="0.3">
      <c r="A995" s="2" t="s">
        <v>237</v>
      </c>
      <c r="B995" s="2" t="s">
        <v>1033</v>
      </c>
      <c r="C995" s="5" t="s">
        <v>1946</v>
      </c>
      <c r="D995" s="2" t="s">
        <v>1947</v>
      </c>
    </row>
    <row r="996" spans="1:4" ht="13.05" customHeight="1" x14ac:dyDescent="0.3">
      <c r="A996" s="2" t="s">
        <v>237</v>
      </c>
      <c r="B996" s="2" t="s">
        <v>1033</v>
      </c>
      <c r="C996" s="5" t="s">
        <v>1948</v>
      </c>
      <c r="D996" s="2" t="s">
        <v>1949</v>
      </c>
    </row>
    <row r="997" spans="1:4" ht="13.05" customHeight="1" x14ac:dyDescent="0.3">
      <c r="A997" s="2" t="s">
        <v>237</v>
      </c>
      <c r="B997" s="2" t="s">
        <v>1033</v>
      </c>
      <c r="C997" s="5" t="s">
        <v>1950</v>
      </c>
      <c r="D997" s="2" t="s">
        <v>1951</v>
      </c>
    </row>
    <row r="998" spans="1:4" ht="13.05" customHeight="1" x14ac:dyDescent="0.3">
      <c r="A998" s="2" t="s">
        <v>237</v>
      </c>
      <c r="B998" s="2" t="s">
        <v>1033</v>
      </c>
      <c r="C998" s="5" t="s">
        <v>1952</v>
      </c>
      <c r="D998" s="2" t="s">
        <v>1953</v>
      </c>
    </row>
    <row r="999" spans="1:4" ht="13.05" customHeight="1" x14ac:dyDescent="0.3">
      <c r="A999" s="2" t="s">
        <v>237</v>
      </c>
      <c r="B999" s="2" t="s">
        <v>1033</v>
      </c>
      <c r="C999" s="5" t="s">
        <v>1954</v>
      </c>
      <c r="D999" s="2" t="s">
        <v>1955</v>
      </c>
    </row>
    <row r="1000" spans="1:4" ht="13.05" customHeight="1" x14ac:dyDescent="0.3">
      <c r="A1000" s="2" t="s">
        <v>237</v>
      </c>
      <c r="B1000" s="2" t="s">
        <v>1033</v>
      </c>
      <c r="C1000" s="5" t="s">
        <v>1956</v>
      </c>
      <c r="D1000" s="2" t="s">
        <v>1957</v>
      </c>
    </row>
    <row r="1001" spans="1:4" ht="13.05" customHeight="1" x14ac:dyDescent="0.3">
      <c r="A1001" s="2" t="s">
        <v>237</v>
      </c>
      <c r="B1001" s="2" t="s">
        <v>1033</v>
      </c>
      <c r="C1001" s="5" t="s">
        <v>1958</v>
      </c>
      <c r="D1001" s="2" t="s">
        <v>1959</v>
      </c>
    </row>
    <row r="1002" spans="1:4" ht="13.05" customHeight="1" x14ac:dyDescent="0.3">
      <c r="A1002" s="2" t="s">
        <v>237</v>
      </c>
      <c r="B1002" s="2" t="s">
        <v>1033</v>
      </c>
      <c r="C1002" s="5" t="s">
        <v>1960</v>
      </c>
      <c r="D1002" s="2" t="s">
        <v>1961</v>
      </c>
    </row>
    <row r="1003" spans="1:4" ht="13.05" customHeight="1" x14ac:dyDescent="0.3">
      <c r="A1003" s="2" t="s">
        <v>237</v>
      </c>
      <c r="B1003" s="2" t="s">
        <v>1033</v>
      </c>
      <c r="C1003" s="5" t="s">
        <v>1962</v>
      </c>
      <c r="D1003" s="2" t="s">
        <v>1963</v>
      </c>
    </row>
    <row r="1004" spans="1:4" ht="13.05" customHeight="1" x14ac:dyDescent="0.3">
      <c r="A1004" s="2" t="s">
        <v>237</v>
      </c>
      <c r="B1004" s="2" t="s">
        <v>1033</v>
      </c>
      <c r="C1004" s="5" t="s">
        <v>1964</v>
      </c>
      <c r="D1004" s="2" t="s">
        <v>1965</v>
      </c>
    </row>
    <row r="1005" spans="1:4" ht="13.05" customHeight="1" x14ac:dyDescent="0.3">
      <c r="A1005" s="2" t="s">
        <v>237</v>
      </c>
      <c r="B1005" s="2" t="s">
        <v>1033</v>
      </c>
      <c r="C1005" s="5" t="s">
        <v>1966</v>
      </c>
      <c r="D1005" s="2" t="s">
        <v>1967</v>
      </c>
    </row>
    <row r="1006" spans="1:4" ht="13.05" customHeight="1" x14ac:dyDescent="0.3">
      <c r="A1006" s="2" t="s">
        <v>237</v>
      </c>
      <c r="B1006" s="2" t="s">
        <v>1033</v>
      </c>
      <c r="C1006" s="5" t="s">
        <v>1968</v>
      </c>
      <c r="D1006" s="2" t="s">
        <v>1969</v>
      </c>
    </row>
    <row r="1007" spans="1:4" ht="13.05" customHeight="1" x14ac:dyDescent="0.3">
      <c r="A1007" s="2" t="s">
        <v>237</v>
      </c>
      <c r="B1007" s="2" t="s">
        <v>1033</v>
      </c>
      <c r="C1007" s="5" t="s">
        <v>1970</v>
      </c>
      <c r="D1007" s="2" t="s">
        <v>1971</v>
      </c>
    </row>
    <row r="1008" spans="1:4" ht="13.05" customHeight="1" x14ac:dyDescent="0.3">
      <c r="A1008" s="2" t="s">
        <v>237</v>
      </c>
      <c r="B1008" s="2" t="s">
        <v>1033</v>
      </c>
      <c r="C1008" s="5" t="s">
        <v>1972</v>
      </c>
      <c r="D1008" s="2" t="s">
        <v>1973</v>
      </c>
    </row>
    <row r="1009" spans="1:4" ht="13.05" customHeight="1" x14ac:dyDescent="0.3">
      <c r="A1009" s="2" t="s">
        <v>237</v>
      </c>
      <c r="B1009" s="2" t="s">
        <v>1033</v>
      </c>
      <c r="C1009" s="5" t="s">
        <v>1974</v>
      </c>
      <c r="D1009" s="2" t="s">
        <v>1975</v>
      </c>
    </row>
    <row r="1010" spans="1:4" ht="13.05" customHeight="1" x14ac:dyDescent="0.3">
      <c r="A1010" s="2" t="s">
        <v>237</v>
      </c>
      <c r="B1010" s="2" t="s">
        <v>1033</v>
      </c>
      <c r="C1010" s="5" t="s">
        <v>1976</v>
      </c>
      <c r="D1010" s="2" t="s">
        <v>1977</v>
      </c>
    </row>
    <row r="1011" spans="1:4" ht="13.05" customHeight="1" x14ac:dyDescent="0.3">
      <c r="A1011" s="2" t="s">
        <v>237</v>
      </c>
      <c r="B1011" s="2" t="s">
        <v>1033</v>
      </c>
      <c r="C1011" s="5" t="s">
        <v>1978</v>
      </c>
      <c r="D1011" s="2" t="s">
        <v>1979</v>
      </c>
    </row>
    <row r="1012" spans="1:4" ht="13.05" customHeight="1" x14ac:dyDescent="0.3">
      <c r="A1012" s="2" t="s">
        <v>237</v>
      </c>
      <c r="B1012" s="2" t="s">
        <v>1033</v>
      </c>
      <c r="C1012" s="5" t="s">
        <v>1980</v>
      </c>
      <c r="D1012" s="2" t="s">
        <v>1981</v>
      </c>
    </row>
    <row r="1013" spans="1:4" ht="13.05" customHeight="1" x14ac:dyDescent="0.3">
      <c r="A1013" s="2" t="s">
        <v>237</v>
      </c>
      <c r="B1013" s="2" t="s">
        <v>1033</v>
      </c>
      <c r="C1013" s="5" t="s">
        <v>1982</v>
      </c>
      <c r="D1013" s="2" t="s">
        <v>1983</v>
      </c>
    </row>
    <row r="1014" spans="1:4" ht="13.05" customHeight="1" x14ac:dyDescent="0.3">
      <c r="A1014" s="2" t="s">
        <v>237</v>
      </c>
      <c r="B1014" s="2" t="s">
        <v>1033</v>
      </c>
      <c r="C1014" s="5" t="s">
        <v>1984</v>
      </c>
      <c r="D1014" s="2" t="s">
        <v>1985</v>
      </c>
    </row>
    <row r="1015" spans="1:4" ht="13.05" customHeight="1" x14ac:dyDescent="0.3">
      <c r="A1015" s="2" t="s">
        <v>237</v>
      </c>
      <c r="B1015" s="2" t="s">
        <v>1033</v>
      </c>
      <c r="C1015" s="5" t="s">
        <v>1986</v>
      </c>
      <c r="D1015" s="2" t="s">
        <v>1987</v>
      </c>
    </row>
    <row r="1016" spans="1:4" ht="13.05" customHeight="1" x14ac:dyDescent="0.3">
      <c r="A1016" s="2" t="s">
        <v>237</v>
      </c>
      <c r="B1016" s="2" t="s">
        <v>1033</v>
      </c>
      <c r="C1016" s="5" t="s">
        <v>1988</v>
      </c>
      <c r="D1016" s="2" t="s">
        <v>1989</v>
      </c>
    </row>
    <row r="1017" spans="1:4" ht="13.05" customHeight="1" x14ac:dyDescent="0.3">
      <c r="A1017" s="2" t="s">
        <v>237</v>
      </c>
      <c r="B1017" s="2" t="s">
        <v>1033</v>
      </c>
      <c r="C1017" s="5" t="s">
        <v>1990</v>
      </c>
      <c r="D1017" s="2" t="s">
        <v>1991</v>
      </c>
    </row>
    <row r="1018" spans="1:4" ht="13.05" customHeight="1" x14ac:dyDescent="0.3">
      <c r="A1018" s="2" t="s">
        <v>237</v>
      </c>
      <c r="B1018" s="2" t="s">
        <v>1033</v>
      </c>
      <c r="C1018" s="5" t="s">
        <v>1992</v>
      </c>
      <c r="D1018" s="2" t="s">
        <v>1993</v>
      </c>
    </row>
    <row r="1019" spans="1:4" ht="13.05" customHeight="1" x14ac:dyDescent="0.3">
      <c r="A1019" s="2" t="s">
        <v>237</v>
      </c>
      <c r="B1019" s="2" t="s">
        <v>1033</v>
      </c>
      <c r="C1019" s="5" t="s">
        <v>1994</v>
      </c>
      <c r="D1019" s="2" t="s">
        <v>1995</v>
      </c>
    </row>
    <row r="1020" spans="1:4" ht="13.05" customHeight="1" x14ac:dyDescent="0.3">
      <c r="A1020" s="2" t="s">
        <v>237</v>
      </c>
      <c r="B1020" s="2" t="s">
        <v>1033</v>
      </c>
      <c r="C1020" s="5" t="s">
        <v>1996</v>
      </c>
      <c r="D1020" s="2" t="s">
        <v>1997</v>
      </c>
    </row>
    <row r="1021" spans="1:4" ht="13.05" customHeight="1" x14ac:dyDescent="0.3">
      <c r="A1021" s="2" t="s">
        <v>237</v>
      </c>
      <c r="B1021" s="2" t="s">
        <v>1033</v>
      </c>
      <c r="C1021" s="5" t="s">
        <v>1998</v>
      </c>
      <c r="D1021" s="2" t="s">
        <v>1999</v>
      </c>
    </row>
    <row r="1022" spans="1:4" ht="13.05" customHeight="1" x14ac:dyDescent="0.3">
      <c r="A1022" s="2" t="s">
        <v>237</v>
      </c>
      <c r="B1022" s="2" t="s">
        <v>1033</v>
      </c>
      <c r="C1022" s="5" t="s">
        <v>2000</v>
      </c>
      <c r="D1022" s="2" t="s">
        <v>2001</v>
      </c>
    </row>
    <row r="1023" spans="1:4" ht="13.05" customHeight="1" x14ac:dyDescent="0.3">
      <c r="A1023" s="2" t="s">
        <v>237</v>
      </c>
      <c r="B1023" s="2" t="s">
        <v>1033</v>
      </c>
      <c r="C1023" s="5" t="s">
        <v>2002</v>
      </c>
      <c r="D1023" s="2" t="s">
        <v>2003</v>
      </c>
    </row>
    <row r="1024" spans="1:4" ht="13.05" customHeight="1" x14ac:dyDescent="0.3">
      <c r="A1024" s="2" t="s">
        <v>237</v>
      </c>
      <c r="B1024" s="2" t="s">
        <v>1033</v>
      </c>
      <c r="C1024" s="5" t="s">
        <v>2004</v>
      </c>
      <c r="D1024" s="2" t="s">
        <v>2005</v>
      </c>
    </row>
    <row r="1025" spans="1:4" ht="13.05" customHeight="1" x14ac:dyDescent="0.3">
      <c r="A1025" s="2" t="s">
        <v>237</v>
      </c>
      <c r="B1025" s="2" t="s">
        <v>1033</v>
      </c>
      <c r="C1025" s="5" t="s">
        <v>2006</v>
      </c>
      <c r="D1025" s="2" t="s">
        <v>2007</v>
      </c>
    </row>
    <row r="1026" spans="1:4" ht="13.05" customHeight="1" x14ac:dyDescent="0.3">
      <c r="A1026" s="2" t="s">
        <v>237</v>
      </c>
      <c r="B1026" s="2" t="s">
        <v>1033</v>
      </c>
      <c r="C1026" s="5" t="s">
        <v>2008</v>
      </c>
      <c r="D1026" s="2" t="s">
        <v>2009</v>
      </c>
    </row>
    <row r="1027" spans="1:4" ht="13.05" customHeight="1" x14ac:dyDescent="0.3">
      <c r="A1027" s="2" t="s">
        <v>237</v>
      </c>
      <c r="B1027" s="2" t="s">
        <v>1033</v>
      </c>
      <c r="C1027" s="5" t="s">
        <v>2010</v>
      </c>
      <c r="D1027" s="2" t="s">
        <v>2011</v>
      </c>
    </row>
    <row r="1028" spans="1:4" ht="13.05" customHeight="1" x14ac:dyDescent="0.3">
      <c r="A1028" s="2" t="s">
        <v>237</v>
      </c>
      <c r="B1028" s="2" t="s">
        <v>1033</v>
      </c>
      <c r="C1028" s="5" t="s">
        <v>2012</v>
      </c>
      <c r="D1028" s="2" t="s">
        <v>2013</v>
      </c>
    </row>
    <row r="1029" spans="1:4" ht="13.05" customHeight="1" x14ac:dyDescent="0.3">
      <c r="A1029" s="2" t="s">
        <v>237</v>
      </c>
      <c r="B1029" s="2" t="s">
        <v>1033</v>
      </c>
      <c r="C1029" s="5" t="s">
        <v>2014</v>
      </c>
      <c r="D1029" s="2" t="s">
        <v>2015</v>
      </c>
    </row>
    <row r="1030" spans="1:4" ht="13.05" customHeight="1" x14ac:dyDescent="0.3">
      <c r="A1030" s="2" t="s">
        <v>237</v>
      </c>
      <c r="B1030" s="2" t="s">
        <v>1033</v>
      </c>
      <c r="C1030" s="5" t="s">
        <v>2016</v>
      </c>
      <c r="D1030" s="2" t="s">
        <v>2017</v>
      </c>
    </row>
    <row r="1031" spans="1:4" ht="13.05" customHeight="1" x14ac:dyDescent="0.3">
      <c r="A1031" s="2" t="s">
        <v>237</v>
      </c>
      <c r="B1031" s="2" t="s">
        <v>1033</v>
      </c>
      <c r="C1031" s="5" t="s">
        <v>2018</v>
      </c>
      <c r="D1031" s="2" t="s">
        <v>2019</v>
      </c>
    </row>
    <row r="1032" spans="1:4" ht="13.05" customHeight="1" x14ac:dyDescent="0.3">
      <c r="A1032" s="2" t="s">
        <v>237</v>
      </c>
      <c r="B1032" s="2" t="s">
        <v>1033</v>
      </c>
      <c r="C1032" s="5" t="s">
        <v>2020</v>
      </c>
      <c r="D1032" s="2" t="s">
        <v>2021</v>
      </c>
    </row>
    <row r="1033" spans="1:4" ht="13.05" customHeight="1" x14ac:dyDescent="0.3">
      <c r="A1033" s="2" t="s">
        <v>237</v>
      </c>
      <c r="B1033" s="2" t="s">
        <v>1033</v>
      </c>
      <c r="C1033" s="5" t="s">
        <v>2022</v>
      </c>
      <c r="D1033" s="2" t="s">
        <v>2023</v>
      </c>
    </row>
    <row r="1034" spans="1:4" ht="13.05" customHeight="1" x14ac:dyDescent="0.3">
      <c r="A1034" s="2" t="s">
        <v>237</v>
      </c>
      <c r="B1034" s="2" t="s">
        <v>1033</v>
      </c>
      <c r="C1034" s="5" t="s">
        <v>2024</v>
      </c>
      <c r="D1034" s="2" t="s">
        <v>2025</v>
      </c>
    </row>
    <row r="1035" spans="1:4" ht="13.05" customHeight="1" x14ac:dyDescent="0.3">
      <c r="A1035" s="2" t="s">
        <v>237</v>
      </c>
      <c r="B1035" s="2" t="s">
        <v>1033</v>
      </c>
      <c r="C1035" s="5" t="s">
        <v>2026</v>
      </c>
      <c r="D1035" s="2" t="s">
        <v>2027</v>
      </c>
    </row>
    <row r="1036" spans="1:4" ht="13.05" customHeight="1" x14ac:dyDescent="0.3">
      <c r="A1036" s="2" t="s">
        <v>237</v>
      </c>
      <c r="B1036" s="2" t="s">
        <v>1033</v>
      </c>
      <c r="C1036" s="5" t="s">
        <v>2028</v>
      </c>
      <c r="D1036" s="2" t="s">
        <v>2029</v>
      </c>
    </row>
    <row r="1037" spans="1:4" ht="13.05" customHeight="1" x14ac:dyDescent="0.3">
      <c r="A1037" s="2" t="s">
        <v>237</v>
      </c>
      <c r="B1037" s="2" t="s">
        <v>1033</v>
      </c>
      <c r="C1037" s="5" t="s">
        <v>2030</v>
      </c>
      <c r="D1037" s="2" t="s">
        <v>2031</v>
      </c>
    </row>
    <row r="1038" spans="1:4" ht="13.05" customHeight="1" x14ac:dyDescent="0.3">
      <c r="A1038" s="2" t="s">
        <v>237</v>
      </c>
      <c r="B1038" s="2" t="s">
        <v>1033</v>
      </c>
      <c r="C1038" s="5" t="s">
        <v>2032</v>
      </c>
      <c r="D1038" s="2" t="s">
        <v>2033</v>
      </c>
    </row>
    <row r="1039" spans="1:4" ht="13.05" customHeight="1" x14ac:dyDescent="0.3">
      <c r="A1039" s="2" t="s">
        <v>237</v>
      </c>
      <c r="B1039" s="2" t="s">
        <v>1033</v>
      </c>
      <c r="C1039" s="5" t="s">
        <v>2034</v>
      </c>
      <c r="D1039" s="2" t="s">
        <v>2035</v>
      </c>
    </row>
    <row r="1040" spans="1:4" ht="13.05" customHeight="1" x14ac:dyDescent="0.3">
      <c r="A1040" s="2" t="s">
        <v>237</v>
      </c>
      <c r="B1040" s="2" t="s">
        <v>1033</v>
      </c>
      <c r="C1040" s="5" t="s">
        <v>2036</v>
      </c>
      <c r="D1040" s="2" t="s">
        <v>2037</v>
      </c>
    </row>
    <row r="1041" spans="1:4" ht="13.05" customHeight="1" x14ac:dyDescent="0.3">
      <c r="A1041" s="2" t="s">
        <v>237</v>
      </c>
      <c r="B1041" s="2" t="s">
        <v>1033</v>
      </c>
      <c r="C1041" s="5" t="s">
        <v>2038</v>
      </c>
      <c r="D1041" s="2" t="s">
        <v>2039</v>
      </c>
    </row>
    <row r="1042" spans="1:4" ht="13.05" customHeight="1" x14ac:dyDescent="0.3">
      <c r="A1042" s="2" t="s">
        <v>237</v>
      </c>
      <c r="B1042" s="2" t="s">
        <v>1033</v>
      </c>
      <c r="C1042" s="5" t="s">
        <v>2040</v>
      </c>
      <c r="D1042" s="2" t="s">
        <v>2041</v>
      </c>
    </row>
    <row r="1043" spans="1:4" ht="13.05" customHeight="1" x14ac:dyDescent="0.3">
      <c r="A1043" s="2" t="s">
        <v>237</v>
      </c>
      <c r="B1043" s="2" t="s">
        <v>1033</v>
      </c>
      <c r="C1043" s="5" t="s">
        <v>2042</v>
      </c>
      <c r="D1043" s="2" t="s">
        <v>2043</v>
      </c>
    </row>
    <row r="1044" spans="1:4" ht="13.05" customHeight="1" x14ac:dyDescent="0.3">
      <c r="A1044" s="2" t="s">
        <v>237</v>
      </c>
      <c r="B1044" s="2" t="s">
        <v>1033</v>
      </c>
      <c r="C1044" s="5" t="s">
        <v>2044</v>
      </c>
      <c r="D1044" s="2" t="s">
        <v>2045</v>
      </c>
    </row>
    <row r="1045" spans="1:4" ht="13.05" customHeight="1" x14ac:dyDescent="0.3">
      <c r="A1045" s="2" t="s">
        <v>237</v>
      </c>
      <c r="B1045" s="2" t="s">
        <v>1033</v>
      </c>
      <c r="C1045" s="5" t="s">
        <v>2046</v>
      </c>
      <c r="D1045" s="2" t="s">
        <v>2047</v>
      </c>
    </row>
    <row r="1046" spans="1:4" ht="13.05" customHeight="1" x14ac:dyDescent="0.3">
      <c r="A1046" s="2" t="s">
        <v>237</v>
      </c>
      <c r="B1046" s="2" t="s">
        <v>1033</v>
      </c>
      <c r="C1046" s="5" t="s">
        <v>2048</v>
      </c>
      <c r="D1046" s="2" t="s">
        <v>2049</v>
      </c>
    </row>
    <row r="1047" spans="1:4" ht="13.05" customHeight="1" x14ac:dyDescent="0.3">
      <c r="A1047" s="2" t="s">
        <v>237</v>
      </c>
      <c r="B1047" s="2" t="s">
        <v>1033</v>
      </c>
      <c r="C1047" s="5" t="s">
        <v>2050</v>
      </c>
      <c r="D1047" s="2" t="s">
        <v>2051</v>
      </c>
    </row>
    <row r="1048" spans="1:4" ht="13.05" customHeight="1" x14ac:dyDescent="0.3">
      <c r="A1048" s="2" t="s">
        <v>237</v>
      </c>
      <c r="B1048" s="2" t="s">
        <v>1033</v>
      </c>
      <c r="C1048" s="5" t="s">
        <v>2052</v>
      </c>
      <c r="D1048" s="2" t="s">
        <v>2053</v>
      </c>
    </row>
    <row r="1049" spans="1:4" ht="13.05" customHeight="1" x14ac:dyDescent="0.3">
      <c r="A1049" s="2" t="s">
        <v>237</v>
      </c>
      <c r="B1049" s="2" t="s">
        <v>1033</v>
      </c>
      <c r="C1049" s="5" t="s">
        <v>2054</v>
      </c>
      <c r="D1049" s="2" t="s">
        <v>2055</v>
      </c>
    </row>
    <row r="1050" spans="1:4" ht="13.05" customHeight="1" x14ac:dyDescent="0.3">
      <c r="A1050" s="2" t="s">
        <v>237</v>
      </c>
      <c r="B1050" s="2" t="s">
        <v>1033</v>
      </c>
      <c r="C1050" s="5" t="s">
        <v>2056</v>
      </c>
      <c r="D1050" s="2" t="s">
        <v>2057</v>
      </c>
    </row>
    <row r="1051" spans="1:4" ht="13.05" customHeight="1" x14ac:dyDescent="0.3">
      <c r="A1051" s="2" t="s">
        <v>237</v>
      </c>
      <c r="B1051" s="2" t="s">
        <v>1033</v>
      </c>
      <c r="C1051" s="5" t="s">
        <v>2058</v>
      </c>
      <c r="D1051" s="2" t="s">
        <v>2059</v>
      </c>
    </row>
    <row r="1052" spans="1:4" ht="13.05" customHeight="1" x14ac:dyDescent="0.3">
      <c r="A1052" s="2" t="s">
        <v>237</v>
      </c>
      <c r="B1052" s="2" t="s">
        <v>1033</v>
      </c>
      <c r="C1052" s="5" t="s">
        <v>2060</v>
      </c>
      <c r="D1052" s="2" t="s">
        <v>2061</v>
      </c>
    </row>
    <row r="1053" spans="1:4" ht="13.05" customHeight="1" x14ac:dyDescent="0.3">
      <c r="A1053" s="2" t="s">
        <v>237</v>
      </c>
      <c r="B1053" s="2" t="s">
        <v>1033</v>
      </c>
      <c r="C1053" s="5" t="s">
        <v>2062</v>
      </c>
      <c r="D1053" s="2" t="s">
        <v>2063</v>
      </c>
    </row>
    <row r="1054" spans="1:4" ht="13.05" customHeight="1" x14ac:dyDescent="0.3">
      <c r="A1054" s="2" t="s">
        <v>237</v>
      </c>
      <c r="B1054" s="2" t="s">
        <v>1033</v>
      </c>
      <c r="C1054" s="5" t="s">
        <v>2064</v>
      </c>
      <c r="D1054" s="2" t="s">
        <v>2065</v>
      </c>
    </row>
    <row r="1055" spans="1:4" ht="13.05" customHeight="1" x14ac:dyDescent="0.3">
      <c r="A1055" s="2" t="s">
        <v>237</v>
      </c>
      <c r="B1055" s="2" t="s">
        <v>1033</v>
      </c>
      <c r="C1055" s="5" t="s">
        <v>2066</v>
      </c>
      <c r="D1055" s="2" t="s">
        <v>2067</v>
      </c>
    </row>
    <row r="1056" spans="1:4" ht="13.05" customHeight="1" x14ac:dyDescent="0.3">
      <c r="A1056" s="2" t="s">
        <v>237</v>
      </c>
      <c r="B1056" s="2" t="s">
        <v>1033</v>
      </c>
      <c r="C1056" s="5" t="s">
        <v>2068</v>
      </c>
      <c r="D1056" s="2" t="s">
        <v>2069</v>
      </c>
    </row>
    <row r="1057" spans="1:4" ht="13.05" customHeight="1" x14ac:dyDescent="0.3">
      <c r="A1057" s="2" t="s">
        <v>237</v>
      </c>
      <c r="B1057" s="2" t="s">
        <v>1033</v>
      </c>
      <c r="C1057" s="5" t="s">
        <v>2070</v>
      </c>
      <c r="D1057" s="2" t="s">
        <v>2071</v>
      </c>
    </row>
    <row r="1058" spans="1:4" ht="13.05" customHeight="1" x14ac:dyDescent="0.3">
      <c r="A1058" s="2" t="s">
        <v>237</v>
      </c>
      <c r="B1058" s="2" t="s">
        <v>1033</v>
      </c>
      <c r="C1058" s="5" t="s">
        <v>2072</v>
      </c>
      <c r="D1058" s="2" t="s">
        <v>2073</v>
      </c>
    </row>
    <row r="1059" spans="1:4" ht="13.05" customHeight="1" x14ac:dyDescent="0.3">
      <c r="A1059" s="2" t="s">
        <v>237</v>
      </c>
      <c r="B1059" s="2" t="s">
        <v>1033</v>
      </c>
      <c r="C1059" s="5" t="s">
        <v>2074</v>
      </c>
      <c r="D1059" s="2" t="s">
        <v>2075</v>
      </c>
    </row>
    <row r="1060" spans="1:4" ht="13.05" customHeight="1" x14ac:dyDescent="0.3">
      <c r="A1060" s="2" t="s">
        <v>237</v>
      </c>
      <c r="B1060" s="2" t="s">
        <v>1033</v>
      </c>
      <c r="C1060" s="5" t="s">
        <v>2076</v>
      </c>
      <c r="D1060" s="2" t="s">
        <v>2077</v>
      </c>
    </row>
    <row r="1061" spans="1:4" ht="13.05" customHeight="1" x14ac:dyDescent="0.3">
      <c r="A1061" s="2" t="s">
        <v>237</v>
      </c>
      <c r="B1061" s="2" t="s">
        <v>1033</v>
      </c>
      <c r="C1061" s="5" t="s">
        <v>2078</v>
      </c>
      <c r="D1061" s="2" t="s">
        <v>2079</v>
      </c>
    </row>
    <row r="1062" spans="1:4" ht="13.05" customHeight="1" x14ac:dyDescent="0.3">
      <c r="A1062" s="2" t="s">
        <v>237</v>
      </c>
      <c r="B1062" s="2" t="s">
        <v>1033</v>
      </c>
      <c r="C1062" s="5" t="s">
        <v>2080</v>
      </c>
      <c r="D1062" s="2" t="s">
        <v>2081</v>
      </c>
    </row>
    <row r="1063" spans="1:4" ht="13.05" customHeight="1" x14ac:dyDescent="0.3">
      <c r="A1063" s="2" t="s">
        <v>237</v>
      </c>
      <c r="B1063" s="2" t="s">
        <v>1033</v>
      </c>
      <c r="C1063" s="5" t="s">
        <v>2082</v>
      </c>
      <c r="D1063" s="2" t="s">
        <v>2083</v>
      </c>
    </row>
    <row r="1064" spans="1:4" ht="13.05" customHeight="1" x14ac:dyDescent="0.3">
      <c r="A1064" s="2" t="s">
        <v>237</v>
      </c>
      <c r="B1064" s="2" t="s">
        <v>1033</v>
      </c>
      <c r="C1064" s="5" t="s">
        <v>2084</v>
      </c>
      <c r="D1064" s="2" t="s">
        <v>2085</v>
      </c>
    </row>
    <row r="1065" spans="1:4" ht="13.05" customHeight="1" x14ac:dyDescent="0.3">
      <c r="A1065" s="2" t="s">
        <v>237</v>
      </c>
      <c r="B1065" s="2" t="s">
        <v>1033</v>
      </c>
      <c r="C1065" s="5" t="s">
        <v>2086</v>
      </c>
      <c r="D1065" s="2" t="s">
        <v>2087</v>
      </c>
    </row>
    <row r="1066" spans="1:4" ht="13.05" customHeight="1" x14ac:dyDescent="0.3">
      <c r="A1066" s="2" t="s">
        <v>237</v>
      </c>
      <c r="B1066" s="2" t="s">
        <v>1033</v>
      </c>
      <c r="C1066" s="5" t="s">
        <v>2088</v>
      </c>
      <c r="D1066" s="2" t="s">
        <v>2089</v>
      </c>
    </row>
    <row r="1067" spans="1:4" ht="13.05" customHeight="1" x14ac:dyDescent="0.3">
      <c r="A1067" s="2" t="s">
        <v>237</v>
      </c>
      <c r="B1067" s="2" t="s">
        <v>1033</v>
      </c>
      <c r="C1067" s="5" t="s">
        <v>2090</v>
      </c>
      <c r="D1067" s="2" t="s">
        <v>2091</v>
      </c>
    </row>
    <row r="1068" spans="1:4" ht="13.05" customHeight="1" x14ac:dyDescent="0.3">
      <c r="A1068" s="2" t="s">
        <v>237</v>
      </c>
      <c r="B1068" s="2" t="s">
        <v>1033</v>
      </c>
      <c r="C1068" s="5" t="s">
        <v>2092</v>
      </c>
      <c r="D1068" s="2" t="s">
        <v>2093</v>
      </c>
    </row>
    <row r="1069" spans="1:4" ht="13.05" customHeight="1" x14ac:dyDescent="0.3">
      <c r="A1069" s="2" t="s">
        <v>237</v>
      </c>
      <c r="B1069" s="2" t="s">
        <v>1033</v>
      </c>
      <c r="C1069" s="5" t="s">
        <v>2094</v>
      </c>
      <c r="D1069" s="2" t="s">
        <v>2095</v>
      </c>
    </row>
    <row r="1070" spans="1:4" ht="13.05" customHeight="1" x14ac:dyDescent="0.3">
      <c r="A1070" s="2" t="s">
        <v>237</v>
      </c>
      <c r="B1070" s="2" t="s">
        <v>1033</v>
      </c>
      <c r="C1070" s="5" t="s">
        <v>2096</v>
      </c>
      <c r="D1070" s="2" t="s">
        <v>2097</v>
      </c>
    </row>
    <row r="1071" spans="1:4" ht="13.05" customHeight="1" x14ac:dyDescent="0.3">
      <c r="A1071" s="2" t="s">
        <v>237</v>
      </c>
      <c r="B1071" s="2" t="s">
        <v>1033</v>
      </c>
      <c r="C1071" s="5" t="s">
        <v>2098</v>
      </c>
      <c r="D1071" s="2" t="s">
        <v>2099</v>
      </c>
    </row>
    <row r="1072" spans="1:4" ht="13.05" customHeight="1" x14ac:dyDescent="0.3">
      <c r="A1072" s="2" t="s">
        <v>237</v>
      </c>
      <c r="B1072" s="2" t="s">
        <v>1033</v>
      </c>
      <c r="C1072" s="5" t="s">
        <v>2100</v>
      </c>
      <c r="D1072" s="2" t="s">
        <v>2101</v>
      </c>
    </row>
    <row r="1073" spans="1:4" ht="13.05" customHeight="1" x14ac:dyDescent="0.3">
      <c r="A1073" s="2" t="s">
        <v>237</v>
      </c>
      <c r="B1073" s="2" t="s">
        <v>1033</v>
      </c>
      <c r="C1073" s="5" t="s">
        <v>2102</v>
      </c>
      <c r="D1073" s="2" t="s">
        <v>2103</v>
      </c>
    </row>
    <row r="1074" spans="1:4" ht="13.05" customHeight="1" x14ac:dyDescent="0.3">
      <c r="A1074" s="2" t="s">
        <v>237</v>
      </c>
      <c r="B1074" s="2" t="s">
        <v>1033</v>
      </c>
      <c r="C1074" s="5" t="s">
        <v>2104</v>
      </c>
      <c r="D1074" s="2" t="s">
        <v>2105</v>
      </c>
    </row>
    <row r="1075" spans="1:4" ht="13.05" customHeight="1" x14ac:dyDescent="0.3">
      <c r="A1075" s="2" t="s">
        <v>237</v>
      </c>
      <c r="B1075" s="2" t="s">
        <v>1033</v>
      </c>
      <c r="C1075" s="5" t="s">
        <v>2106</v>
      </c>
      <c r="D1075" s="2" t="s">
        <v>2107</v>
      </c>
    </row>
    <row r="1076" spans="1:4" ht="13.05" customHeight="1" x14ac:dyDescent="0.3">
      <c r="A1076" s="2" t="s">
        <v>237</v>
      </c>
      <c r="B1076" s="2" t="s">
        <v>1033</v>
      </c>
      <c r="C1076" s="5" t="s">
        <v>2108</v>
      </c>
      <c r="D1076" s="2" t="s">
        <v>2109</v>
      </c>
    </row>
    <row r="1077" spans="1:4" ht="13.05" customHeight="1" x14ac:dyDescent="0.3">
      <c r="A1077" s="2" t="s">
        <v>237</v>
      </c>
      <c r="B1077" s="2" t="s">
        <v>1033</v>
      </c>
      <c r="C1077" s="5" t="s">
        <v>2110</v>
      </c>
      <c r="D1077" s="2" t="s">
        <v>2111</v>
      </c>
    </row>
    <row r="1078" spans="1:4" ht="13.05" customHeight="1" x14ac:dyDescent="0.3">
      <c r="A1078" s="2" t="s">
        <v>237</v>
      </c>
      <c r="B1078" s="2" t="s">
        <v>1033</v>
      </c>
      <c r="C1078" s="5" t="s">
        <v>2112</v>
      </c>
      <c r="D1078" s="2" t="s">
        <v>2113</v>
      </c>
    </row>
    <row r="1079" spans="1:4" ht="13.05" customHeight="1" x14ac:dyDescent="0.3">
      <c r="A1079" s="2" t="s">
        <v>237</v>
      </c>
      <c r="B1079" s="2" t="s">
        <v>1033</v>
      </c>
      <c r="C1079" s="5" t="s">
        <v>2114</v>
      </c>
      <c r="D1079" s="2" t="s">
        <v>2115</v>
      </c>
    </row>
    <row r="1080" spans="1:4" ht="13.05" customHeight="1" x14ac:dyDescent="0.3">
      <c r="A1080" s="2" t="s">
        <v>237</v>
      </c>
      <c r="B1080" s="2" t="s">
        <v>1033</v>
      </c>
      <c r="C1080" s="5" t="s">
        <v>2116</v>
      </c>
      <c r="D1080" s="2" t="s">
        <v>2117</v>
      </c>
    </row>
    <row r="1081" spans="1:4" ht="13.05" customHeight="1" x14ac:dyDescent="0.3">
      <c r="A1081" s="2" t="s">
        <v>237</v>
      </c>
      <c r="B1081" s="2" t="s">
        <v>1033</v>
      </c>
      <c r="C1081" s="5" t="s">
        <v>2118</v>
      </c>
      <c r="D1081" s="2" t="s">
        <v>2119</v>
      </c>
    </row>
    <row r="1082" spans="1:4" ht="13.05" customHeight="1" x14ac:dyDescent="0.3">
      <c r="A1082" s="2" t="s">
        <v>237</v>
      </c>
      <c r="B1082" s="2" t="s">
        <v>1033</v>
      </c>
      <c r="C1082" s="5" t="s">
        <v>2120</v>
      </c>
      <c r="D1082" s="2" t="s">
        <v>2121</v>
      </c>
    </row>
    <row r="1083" spans="1:4" ht="13.05" customHeight="1" x14ac:dyDescent="0.3">
      <c r="A1083" s="2" t="s">
        <v>237</v>
      </c>
      <c r="B1083" s="2" t="s">
        <v>1033</v>
      </c>
      <c r="C1083" s="5" t="s">
        <v>2122</v>
      </c>
      <c r="D1083" s="2" t="s">
        <v>2123</v>
      </c>
    </row>
    <row r="1084" spans="1:4" ht="13.05" customHeight="1" x14ac:dyDescent="0.3">
      <c r="A1084" s="2" t="s">
        <v>237</v>
      </c>
      <c r="B1084" s="2" t="s">
        <v>1033</v>
      </c>
      <c r="C1084" s="5" t="s">
        <v>2124</v>
      </c>
      <c r="D1084" s="2" t="s">
        <v>2125</v>
      </c>
    </row>
    <row r="1085" spans="1:4" ht="13.05" customHeight="1" x14ac:dyDescent="0.3">
      <c r="A1085" s="2" t="s">
        <v>237</v>
      </c>
      <c r="B1085" s="2" t="s">
        <v>1033</v>
      </c>
      <c r="C1085" s="5" t="s">
        <v>2126</v>
      </c>
      <c r="D1085" s="2" t="s">
        <v>2127</v>
      </c>
    </row>
    <row r="1086" spans="1:4" ht="13.05" customHeight="1" x14ac:dyDescent="0.3">
      <c r="A1086" s="2" t="s">
        <v>237</v>
      </c>
      <c r="B1086" s="2" t="s">
        <v>1033</v>
      </c>
      <c r="C1086" s="5" t="s">
        <v>2128</v>
      </c>
      <c r="D1086" s="2" t="s">
        <v>2129</v>
      </c>
    </row>
    <row r="1087" spans="1:4" ht="13.05" customHeight="1" x14ac:dyDescent="0.3">
      <c r="A1087" s="2" t="s">
        <v>237</v>
      </c>
      <c r="B1087" s="2" t="s">
        <v>1033</v>
      </c>
      <c r="C1087" s="5" t="s">
        <v>2130</v>
      </c>
      <c r="D1087" s="2" t="s">
        <v>2131</v>
      </c>
    </row>
    <row r="1088" spans="1:4" ht="13.05" customHeight="1" x14ac:dyDescent="0.3">
      <c r="A1088" s="2" t="s">
        <v>237</v>
      </c>
      <c r="B1088" s="2" t="s">
        <v>1033</v>
      </c>
      <c r="C1088" s="5" t="s">
        <v>2132</v>
      </c>
      <c r="D1088" s="2" t="s">
        <v>2133</v>
      </c>
    </row>
    <row r="1089" spans="1:4" ht="13.05" customHeight="1" x14ac:dyDescent="0.3">
      <c r="A1089" s="2" t="s">
        <v>237</v>
      </c>
      <c r="B1089" s="2" t="s">
        <v>1033</v>
      </c>
      <c r="C1089" s="5" t="s">
        <v>2134</v>
      </c>
      <c r="D1089" s="2" t="s">
        <v>2135</v>
      </c>
    </row>
    <row r="1090" spans="1:4" ht="13.05" customHeight="1" x14ac:dyDescent="0.3">
      <c r="A1090" s="2" t="s">
        <v>237</v>
      </c>
      <c r="B1090" s="2" t="s">
        <v>1033</v>
      </c>
      <c r="C1090" s="5" t="s">
        <v>2136</v>
      </c>
      <c r="D1090" s="2" t="s">
        <v>2137</v>
      </c>
    </row>
    <row r="1091" spans="1:4" ht="13.05" customHeight="1" x14ac:dyDescent="0.3">
      <c r="A1091" s="2" t="s">
        <v>237</v>
      </c>
      <c r="B1091" s="2" t="s">
        <v>1033</v>
      </c>
      <c r="C1091" s="5" t="s">
        <v>2138</v>
      </c>
      <c r="D1091" s="2" t="s">
        <v>2139</v>
      </c>
    </row>
    <row r="1092" spans="1:4" ht="13.05" customHeight="1" x14ac:dyDescent="0.3">
      <c r="A1092" s="2" t="s">
        <v>237</v>
      </c>
      <c r="B1092" s="2" t="s">
        <v>1033</v>
      </c>
      <c r="C1092" s="5" t="s">
        <v>2140</v>
      </c>
      <c r="D1092" s="2" t="s">
        <v>2141</v>
      </c>
    </row>
    <row r="1093" spans="1:4" ht="13.05" customHeight="1" x14ac:dyDescent="0.3">
      <c r="A1093" s="2" t="s">
        <v>237</v>
      </c>
      <c r="B1093" s="2" t="s">
        <v>1033</v>
      </c>
      <c r="C1093" s="5" t="s">
        <v>2142</v>
      </c>
      <c r="D1093" s="2" t="s">
        <v>2143</v>
      </c>
    </row>
    <row r="1094" spans="1:4" ht="13.05" customHeight="1" x14ac:dyDescent="0.3">
      <c r="A1094" s="2" t="s">
        <v>237</v>
      </c>
      <c r="B1094" s="2" t="s">
        <v>1033</v>
      </c>
      <c r="C1094" s="5" t="s">
        <v>2144</v>
      </c>
      <c r="D1094" s="2" t="s">
        <v>2145</v>
      </c>
    </row>
    <row r="1095" spans="1:4" ht="13.05" customHeight="1" x14ac:dyDescent="0.3">
      <c r="A1095" s="2" t="s">
        <v>237</v>
      </c>
      <c r="B1095" s="2" t="s">
        <v>1033</v>
      </c>
      <c r="C1095" s="5" t="s">
        <v>2146</v>
      </c>
      <c r="D1095" s="2" t="s">
        <v>2147</v>
      </c>
    </row>
    <row r="1096" spans="1:4" ht="13.05" customHeight="1" x14ac:dyDescent="0.3">
      <c r="A1096" s="2" t="s">
        <v>237</v>
      </c>
      <c r="B1096" s="2" t="s">
        <v>1033</v>
      </c>
      <c r="C1096" s="5" t="s">
        <v>2148</v>
      </c>
      <c r="D1096" s="2" t="s">
        <v>2149</v>
      </c>
    </row>
    <row r="1097" spans="1:4" ht="13.05" customHeight="1" x14ac:dyDescent="0.3">
      <c r="A1097" s="2" t="s">
        <v>237</v>
      </c>
      <c r="B1097" s="2" t="s">
        <v>1033</v>
      </c>
      <c r="C1097" s="5" t="s">
        <v>2150</v>
      </c>
      <c r="D1097" s="2" t="s">
        <v>2151</v>
      </c>
    </row>
    <row r="1098" spans="1:4" ht="13.05" customHeight="1" x14ac:dyDescent="0.3">
      <c r="A1098" s="2" t="s">
        <v>237</v>
      </c>
      <c r="B1098" s="2" t="s">
        <v>1033</v>
      </c>
      <c r="C1098" s="5" t="s">
        <v>2152</v>
      </c>
      <c r="D1098" s="2" t="s">
        <v>2153</v>
      </c>
    </row>
    <row r="1099" spans="1:4" ht="13.05" customHeight="1" x14ac:dyDescent="0.3">
      <c r="A1099" s="2" t="s">
        <v>237</v>
      </c>
      <c r="B1099" s="2" t="s">
        <v>1033</v>
      </c>
      <c r="C1099" s="5" t="s">
        <v>2154</v>
      </c>
      <c r="D1099" s="2" t="s">
        <v>2155</v>
      </c>
    </row>
    <row r="1100" spans="1:4" ht="13.05" customHeight="1" x14ac:dyDescent="0.3">
      <c r="A1100" s="2" t="s">
        <v>237</v>
      </c>
      <c r="B1100" s="2" t="s">
        <v>1033</v>
      </c>
      <c r="C1100" s="5" t="s">
        <v>2156</v>
      </c>
      <c r="D1100" s="2" t="s">
        <v>2157</v>
      </c>
    </row>
    <row r="1101" spans="1:4" ht="13.05" customHeight="1" x14ac:dyDescent="0.3">
      <c r="A1101" s="2" t="s">
        <v>237</v>
      </c>
      <c r="B1101" s="2" t="s">
        <v>1033</v>
      </c>
      <c r="C1101" s="5" t="s">
        <v>2158</v>
      </c>
      <c r="D1101" s="2" t="s">
        <v>2159</v>
      </c>
    </row>
    <row r="1102" spans="1:4" ht="13.05" customHeight="1" x14ac:dyDescent="0.3">
      <c r="A1102" s="2" t="s">
        <v>237</v>
      </c>
      <c r="B1102" s="2" t="s">
        <v>1033</v>
      </c>
      <c r="C1102" s="5" t="s">
        <v>2160</v>
      </c>
      <c r="D1102" s="2" t="s">
        <v>2161</v>
      </c>
    </row>
    <row r="1103" spans="1:4" ht="13.05" customHeight="1" x14ac:dyDescent="0.3">
      <c r="A1103" s="2" t="s">
        <v>237</v>
      </c>
      <c r="B1103" s="2" t="s">
        <v>1033</v>
      </c>
      <c r="C1103" s="5" t="s">
        <v>2162</v>
      </c>
      <c r="D1103" s="2" t="s">
        <v>2163</v>
      </c>
    </row>
    <row r="1104" spans="1:4" ht="13.05" customHeight="1" x14ac:dyDescent="0.3">
      <c r="A1104" s="2" t="s">
        <v>237</v>
      </c>
      <c r="B1104" s="2" t="s">
        <v>1033</v>
      </c>
      <c r="C1104" s="5" t="s">
        <v>2164</v>
      </c>
      <c r="D1104" s="2" t="s">
        <v>2165</v>
      </c>
    </row>
    <row r="1105" spans="1:4" ht="13.05" customHeight="1" x14ac:dyDescent="0.3">
      <c r="A1105" s="2" t="s">
        <v>237</v>
      </c>
      <c r="B1105" s="2" t="s">
        <v>1033</v>
      </c>
      <c r="C1105" s="5" t="s">
        <v>2166</v>
      </c>
      <c r="D1105" s="2" t="s">
        <v>2167</v>
      </c>
    </row>
    <row r="1106" spans="1:4" ht="13.05" customHeight="1" x14ac:dyDescent="0.3">
      <c r="A1106" s="2" t="s">
        <v>237</v>
      </c>
      <c r="B1106" s="2" t="s">
        <v>1033</v>
      </c>
      <c r="C1106" s="5" t="s">
        <v>2168</v>
      </c>
      <c r="D1106" s="2" t="s">
        <v>2169</v>
      </c>
    </row>
    <row r="1107" spans="1:4" ht="13.05" customHeight="1" x14ac:dyDescent="0.3">
      <c r="A1107" s="2" t="s">
        <v>237</v>
      </c>
      <c r="B1107" s="2" t="s">
        <v>1033</v>
      </c>
      <c r="C1107" s="5" t="s">
        <v>2170</v>
      </c>
      <c r="D1107" s="2" t="s">
        <v>2171</v>
      </c>
    </row>
    <row r="1108" spans="1:4" ht="13.05" customHeight="1" x14ac:dyDescent="0.3">
      <c r="A1108" s="2" t="s">
        <v>237</v>
      </c>
      <c r="B1108" s="2" t="s">
        <v>1033</v>
      </c>
      <c r="C1108" s="5" t="s">
        <v>2172</v>
      </c>
      <c r="D1108" s="2" t="s">
        <v>2173</v>
      </c>
    </row>
    <row r="1109" spans="1:4" ht="13.05" customHeight="1" x14ac:dyDescent="0.3">
      <c r="A1109" s="2" t="s">
        <v>237</v>
      </c>
      <c r="B1109" s="2" t="s">
        <v>1033</v>
      </c>
      <c r="C1109" s="5" t="s">
        <v>2174</v>
      </c>
      <c r="D1109" s="2" t="s">
        <v>2175</v>
      </c>
    </row>
    <row r="1110" spans="1:4" ht="13.05" customHeight="1" x14ac:dyDescent="0.3">
      <c r="A1110" s="2" t="s">
        <v>237</v>
      </c>
      <c r="B1110" s="2" t="s">
        <v>1033</v>
      </c>
      <c r="C1110" s="5" t="s">
        <v>2176</v>
      </c>
      <c r="D1110" s="2" t="s">
        <v>2177</v>
      </c>
    </row>
    <row r="1111" spans="1:4" ht="13.05" customHeight="1" x14ac:dyDescent="0.3">
      <c r="A1111" s="2" t="s">
        <v>237</v>
      </c>
      <c r="B1111" s="2" t="s">
        <v>1033</v>
      </c>
      <c r="C1111" s="5" t="s">
        <v>2178</v>
      </c>
      <c r="D1111" s="2" t="s">
        <v>2179</v>
      </c>
    </row>
    <row r="1112" spans="1:4" ht="13.05" customHeight="1" x14ac:dyDescent="0.3">
      <c r="A1112" s="2" t="s">
        <v>237</v>
      </c>
      <c r="B1112" s="2" t="s">
        <v>1033</v>
      </c>
      <c r="C1112" s="5" t="s">
        <v>2180</v>
      </c>
      <c r="D1112" s="2" t="s">
        <v>2181</v>
      </c>
    </row>
    <row r="1113" spans="1:4" ht="13.05" customHeight="1" x14ac:dyDescent="0.3">
      <c r="A1113" s="2" t="s">
        <v>237</v>
      </c>
      <c r="B1113" s="2" t="s">
        <v>1033</v>
      </c>
      <c r="C1113" s="5" t="s">
        <v>2182</v>
      </c>
      <c r="D1113" s="2" t="s">
        <v>2183</v>
      </c>
    </row>
    <row r="1114" spans="1:4" ht="13.05" customHeight="1" x14ac:dyDescent="0.3">
      <c r="A1114" s="2" t="s">
        <v>237</v>
      </c>
      <c r="B1114" s="2" t="s">
        <v>1033</v>
      </c>
      <c r="C1114" s="5" t="s">
        <v>2184</v>
      </c>
      <c r="D1114" s="2" t="s">
        <v>2185</v>
      </c>
    </row>
    <row r="1115" spans="1:4" ht="13.05" customHeight="1" x14ac:dyDescent="0.3">
      <c r="A1115" s="2" t="s">
        <v>237</v>
      </c>
      <c r="B1115" s="2" t="s">
        <v>1033</v>
      </c>
      <c r="C1115" s="5" t="s">
        <v>2186</v>
      </c>
      <c r="D1115" s="2" t="s">
        <v>2187</v>
      </c>
    </row>
    <row r="1116" spans="1:4" ht="13.05" customHeight="1" x14ac:dyDescent="0.3">
      <c r="A1116" s="2" t="s">
        <v>237</v>
      </c>
      <c r="B1116" s="2" t="s">
        <v>1033</v>
      </c>
      <c r="C1116" s="5" t="s">
        <v>2188</v>
      </c>
      <c r="D1116" s="2" t="s">
        <v>2189</v>
      </c>
    </row>
    <row r="1117" spans="1:4" ht="13.05" customHeight="1" x14ac:dyDescent="0.3">
      <c r="A1117" s="2" t="s">
        <v>237</v>
      </c>
      <c r="B1117" s="2" t="s">
        <v>1033</v>
      </c>
      <c r="C1117" s="5" t="s">
        <v>2190</v>
      </c>
      <c r="D1117" s="2" t="s">
        <v>2191</v>
      </c>
    </row>
    <row r="1118" spans="1:4" ht="13.05" customHeight="1" x14ac:dyDescent="0.3">
      <c r="A1118" s="2" t="s">
        <v>237</v>
      </c>
      <c r="B1118" s="2" t="s">
        <v>1033</v>
      </c>
      <c r="C1118" s="5" t="s">
        <v>2192</v>
      </c>
      <c r="D1118" s="2" t="s">
        <v>2193</v>
      </c>
    </row>
    <row r="1119" spans="1:4" ht="13.05" customHeight="1" x14ac:dyDescent="0.3">
      <c r="A1119" s="2" t="s">
        <v>237</v>
      </c>
      <c r="B1119" s="2" t="s">
        <v>1033</v>
      </c>
      <c r="C1119" s="5" t="s">
        <v>2194</v>
      </c>
      <c r="D1119" s="2" t="s">
        <v>2195</v>
      </c>
    </row>
    <row r="1120" spans="1:4" ht="13.05" customHeight="1" x14ac:dyDescent="0.3">
      <c r="A1120" s="2" t="s">
        <v>237</v>
      </c>
      <c r="B1120" s="2" t="s">
        <v>1033</v>
      </c>
      <c r="C1120" s="5" t="s">
        <v>2196</v>
      </c>
      <c r="D1120" s="2" t="s">
        <v>2197</v>
      </c>
    </row>
    <row r="1121" spans="1:4" ht="13.05" customHeight="1" x14ac:dyDescent="0.3">
      <c r="A1121" s="2" t="s">
        <v>237</v>
      </c>
      <c r="B1121" s="2" t="s">
        <v>1033</v>
      </c>
      <c r="C1121" s="5" t="s">
        <v>2198</v>
      </c>
      <c r="D1121" s="2" t="s">
        <v>2199</v>
      </c>
    </row>
    <row r="1122" spans="1:4" ht="13.05" customHeight="1" x14ac:dyDescent="0.3">
      <c r="A1122" s="2" t="s">
        <v>237</v>
      </c>
      <c r="B1122" s="2" t="s">
        <v>1033</v>
      </c>
      <c r="C1122" s="5" t="s">
        <v>2200</v>
      </c>
      <c r="D1122" s="2" t="s">
        <v>2201</v>
      </c>
    </row>
    <row r="1123" spans="1:4" ht="13.05" customHeight="1" x14ac:dyDescent="0.3">
      <c r="A1123" s="2" t="s">
        <v>237</v>
      </c>
      <c r="B1123" s="2" t="s">
        <v>1033</v>
      </c>
      <c r="C1123" s="5" t="s">
        <v>2202</v>
      </c>
      <c r="D1123" s="2" t="s">
        <v>2203</v>
      </c>
    </row>
    <row r="1124" spans="1:4" ht="13.05" customHeight="1" x14ac:dyDescent="0.3">
      <c r="A1124" s="2" t="s">
        <v>237</v>
      </c>
      <c r="B1124" s="2" t="s">
        <v>1033</v>
      </c>
      <c r="C1124" s="5" t="s">
        <v>2204</v>
      </c>
      <c r="D1124" s="2" t="s">
        <v>2205</v>
      </c>
    </row>
    <row r="1125" spans="1:4" ht="13.05" customHeight="1" x14ac:dyDescent="0.3">
      <c r="A1125" s="2" t="s">
        <v>237</v>
      </c>
      <c r="B1125" s="2" t="s">
        <v>1033</v>
      </c>
      <c r="C1125" s="5" t="s">
        <v>2206</v>
      </c>
      <c r="D1125" s="2" t="s">
        <v>2207</v>
      </c>
    </row>
    <row r="1126" spans="1:4" ht="13.05" customHeight="1" x14ac:dyDescent="0.3">
      <c r="A1126" s="2" t="s">
        <v>237</v>
      </c>
      <c r="B1126" s="2" t="s">
        <v>1033</v>
      </c>
      <c r="C1126" s="5" t="s">
        <v>2208</v>
      </c>
      <c r="D1126" s="2" t="s">
        <v>2209</v>
      </c>
    </row>
    <row r="1127" spans="1:4" ht="13.05" customHeight="1" x14ac:dyDescent="0.3">
      <c r="A1127" s="2" t="s">
        <v>237</v>
      </c>
      <c r="B1127" s="2" t="s">
        <v>1033</v>
      </c>
      <c r="C1127" s="5" t="s">
        <v>2210</v>
      </c>
      <c r="D1127" s="2" t="s">
        <v>2211</v>
      </c>
    </row>
    <row r="1128" spans="1:4" ht="13.05" customHeight="1" x14ac:dyDescent="0.3">
      <c r="A1128" s="2" t="s">
        <v>237</v>
      </c>
      <c r="B1128" s="2" t="s">
        <v>1033</v>
      </c>
      <c r="C1128" s="5" t="s">
        <v>2212</v>
      </c>
      <c r="D1128" s="2" t="s">
        <v>2213</v>
      </c>
    </row>
    <row r="1129" spans="1:4" ht="13.05" customHeight="1" x14ac:dyDescent="0.3">
      <c r="A1129" s="2" t="s">
        <v>237</v>
      </c>
      <c r="B1129" s="2" t="s">
        <v>1033</v>
      </c>
      <c r="C1129" s="5" t="s">
        <v>2214</v>
      </c>
      <c r="D1129" s="2" t="s">
        <v>2215</v>
      </c>
    </row>
    <row r="1130" spans="1:4" ht="13.05" customHeight="1" x14ac:dyDescent="0.3">
      <c r="A1130" s="2" t="s">
        <v>237</v>
      </c>
      <c r="B1130" s="2" t="s">
        <v>1033</v>
      </c>
      <c r="C1130" s="5" t="s">
        <v>2216</v>
      </c>
      <c r="D1130" s="2" t="s">
        <v>2217</v>
      </c>
    </row>
    <row r="1131" spans="1:4" ht="13.05" customHeight="1" x14ac:dyDescent="0.3">
      <c r="A1131" s="2" t="s">
        <v>237</v>
      </c>
      <c r="B1131" s="2" t="s">
        <v>1033</v>
      </c>
      <c r="C1131" s="5" t="s">
        <v>2218</v>
      </c>
      <c r="D1131" s="2" t="s">
        <v>2219</v>
      </c>
    </row>
    <row r="1132" spans="1:4" ht="13.05" customHeight="1" x14ac:dyDescent="0.3">
      <c r="A1132" s="2" t="s">
        <v>237</v>
      </c>
      <c r="B1132" s="2" t="s">
        <v>1033</v>
      </c>
      <c r="C1132" s="5" t="s">
        <v>2220</v>
      </c>
      <c r="D1132" s="2" t="s">
        <v>2221</v>
      </c>
    </row>
    <row r="1133" spans="1:4" ht="13.05" customHeight="1" x14ac:dyDescent="0.3">
      <c r="A1133" s="2" t="s">
        <v>237</v>
      </c>
      <c r="B1133" s="2" t="s">
        <v>1033</v>
      </c>
      <c r="C1133" s="5" t="s">
        <v>2222</v>
      </c>
      <c r="D1133" s="2" t="s">
        <v>2223</v>
      </c>
    </row>
    <row r="1134" spans="1:4" ht="13.05" customHeight="1" x14ac:dyDescent="0.3">
      <c r="A1134" s="2" t="s">
        <v>237</v>
      </c>
      <c r="B1134" s="2" t="s">
        <v>1033</v>
      </c>
      <c r="C1134" s="5" t="s">
        <v>2224</v>
      </c>
      <c r="D1134" s="2" t="s">
        <v>2225</v>
      </c>
    </row>
    <row r="1135" spans="1:4" ht="13.05" customHeight="1" x14ac:dyDescent="0.3">
      <c r="A1135" s="2" t="s">
        <v>237</v>
      </c>
      <c r="B1135" s="2" t="s">
        <v>1033</v>
      </c>
      <c r="C1135" s="5" t="s">
        <v>2226</v>
      </c>
      <c r="D1135" s="2" t="s">
        <v>2227</v>
      </c>
    </row>
    <row r="1136" spans="1:4" ht="13.05" customHeight="1" x14ac:dyDescent="0.3">
      <c r="A1136" s="2" t="s">
        <v>237</v>
      </c>
      <c r="B1136" s="2" t="s">
        <v>1033</v>
      </c>
      <c r="C1136" s="5" t="s">
        <v>2228</v>
      </c>
      <c r="D1136" s="2" t="s">
        <v>2229</v>
      </c>
    </row>
    <row r="1137" spans="1:4" ht="13.05" customHeight="1" x14ac:dyDescent="0.3">
      <c r="A1137" s="2" t="s">
        <v>237</v>
      </c>
      <c r="B1137" s="2" t="s">
        <v>1033</v>
      </c>
      <c r="C1137" s="5" t="s">
        <v>2230</v>
      </c>
      <c r="D1137" s="2" t="s">
        <v>2231</v>
      </c>
    </row>
    <row r="1138" spans="1:4" ht="13.05" customHeight="1" x14ac:dyDescent="0.3">
      <c r="A1138" s="2" t="s">
        <v>237</v>
      </c>
      <c r="B1138" s="2" t="s">
        <v>1033</v>
      </c>
      <c r="C1138" s="5" t="s">
        <v>2232</v>
      </c>
      <c r="D1138" s="2" t="s">
        <v>2233</v>
      </c>
    </row>
    <row r="1139" spans="1:4" ht="13.05" customHeight="1" x14ac:dyDescent="0.3">
      <c r="A1139" s="2" t="s">
        <v>237</v>
      </c>
      <c r="B1139" s="2" t="s">
        <v>1033</v>
      </c>
      <c r="C1139" s="5" t="s">
        <v>2234</v>
      </c>
      <c r="D1139" s="2" t="s">
        <v>2235</v>
      </c>
    </row>
    <row r="1140" spans="1:4" ht="13.05" customHeight="1" x14ac:dyDescent="0.3">
      <c r="A1140" s="2" t="s">
        <v>237</v>
      </c>
      <c r="B1140" s="2" t="s">
        <v>1033</v>
      </c>
      <c r="C1140" s="5" t="s">
        <v>2236</v>
      </c>
      <c r="D1140" s="2" t="s">
        <v>2237</v>
      </c>
    </row>
    <row r="1141" spans="1:4" ht="13.05" customHeight="1" x14ac:dyDescent="0.3">
      <c r="A1141" s="2" t="s">
        <v>237</v>
      </c>
      <c r="B1141" s="2" t="s">
        <v>1033</v>
      </c>
      <c r="C1141" s="5" t="s">
        <v>2238</v>
      </c>
      <c r="D1141" s="2" t="s">
        <v>2239</v>
      </c>
    </row>
    <row r="1142" spans="1:4" ht="13.05" customHeight="1" x14ac:dyDescent="0.3">
      <c r="A1142" s="2" t="s">
        <v>237</v>
      </c>
      <c r="B1142" s="2" t="s">
        <v>1033</v>
      </c>
      <c r="C1142" s="5" t="s">
        <v>2240</v>
      </c>
      <c r="D1142" s="2" t="s">
        <v>2241</v>
      </c>
    </row>
    <row r="1143" spans="1:4" ht="13.05" customHeight="1" x14ac:dyDescent="0.3">
      <c r="A1143" s="2" t="s">
        <v>237</v>
      </c>
      <c r="B1143" s="2" t="s">
        <v>1033</v>
      </c>
      <c r="C1143" s="5" t="s">
        <v>2242</v>
      </c>
      <c r="D1143" s="2" t="s">
        <v>2243</v>
      </c>
    </row>
    <row r="1144" spans="1:4" ht="13.05" customHeight="1" x14ac:dyDescent="0.3">
      <c r="A1144" s="2" t="s">
        <v>237</v>
      </c>
      <c r="B1144" s="2" t="s">
        <v>1033</v>
      </c>
      <c r="C1144" s="5" t="s">
        <v>2244</v>
      </c>
      <c r="D1144" s="2" t="s">
        <v>2245</v>
      </c>
    </row>
    <row r="1145" spans="1:4" ht="13.05" customHeight="1" x14ac:dyDescent="0.3">
      <c r="A1145" s="2" t="s">
        <v>237</v>
      </c>
      <c r="B1145" s="2" t="s">
        <v>1033</v>
      </c>
      <c r="C1145" s="5" t="s">
        <v>2246</v>
      </c>
      <c r="D1145" s="2" t="s">
        <v>2247</v>
      </c>
    </row>
    <row r="1146" spans="1:4" ht="13.05" customHeight="1" x14ac:dyDescent="0.3">
      <c r="A1146" s="2" t="s">
        <v>237</v>
      </c>
      <c r="B1146" s="2" t="s">
        <v>1033</v>
      </c>
      <c r="C1146" s="5" t="s">
        <v>2248</v>
      </c>
      <c r="D1146" s="2" t="s">
        <v>2249</v>
      </c>
    </row>
    <row r="1147" spans="1:4" ht="13.05" customHeight="1" x14ac:dyDescent="0.3">
      <c r="A1147" s="2" t="s">
        <v>237</v>
      </c>
      <c r="B1147" s="2" t="s">
        <v>1033</v>
      </c>
      <c r="C1147" s="5" t="s">
        <v>2250</v>
      </c>
      <c r="D1147" s="2" t="s">
        <v>2251</v>
      </c>
    </row>
    <row r="1148" spans="1:4" ht="13.05" customHeight="1" x14ac:dyDescent="0.3">
      <c r="A1148" s="2" t="s">
        <v>237</v>
      </c>
      <c r="B1148" s="2" t="s">
        <v>1033</v>
      </c>
      <c r="C1148" s="5" t="s">
        <v>2252</v>
      </c>
      <c r="D1148" s="2" t="s">
        <v>2253</v>
      </c>
    </row>
    <row r="1149" spans="1:4" ht="13.05" customHeight="1" x14ac:dyDescent="0.3">
      <c r="A1149" s="2" t="s">
        <v>237</v>
      </c>
      <c r="B1149" s="2" t="s">
        <v>1033</v>
      </c>
      <c r="C1149" s="5" t="s">
        <v>2254</v>
      </c>
      <c r="D1149" s="2" t="s">
        <v>2255</v>
      </c>
    </row>
    <row r="1150" spans="1:4" ht="13.05" customHeight="1" x14ac:dyDescent="0.3">
      <c r="A1150" s="2" t="s">
        <v>237</v>
      </c>
      <c r="B1150" s="2" t="s">
        <v>1033</v>
      </c>
      <c r="C1150" s="5" t="s">
        <v>2256</v>
      </c>
      <c r="D1150" s="2" t="s">
        <v>2257</v>
      </c>
    </row>
    <row r="1151" spans="1:4" ht="13.05" customHeight="1" x14ac:dyDescent="0.3">
      <c r="A1151" s="2" t="s">
        <v>237</v>
      </c>
      <c r="B1151" s="2" t="s">
        <v>1033</v>
      </c>
      <c r="C1151" s="5" t="s">
        <v>2258</v>
      </c>
      <c r="D1151" s="2" t="s">
        <v>2259</v>
      </c>
    </row>
    <row r="1152" spans="1:4" ht="13.05" customHeight="1" x14ac:dyDescent="0.3">
      <c r="A1152" s="2" t="s">
        <v>237</v>
      </c>
      <c r="B1152" s="2" t="s">
        <v>1033</v>
      </c>
      <c r="C1152" s="5" t="s">
        <v>2260</v>
      </c>
      <c r="D1152" s="2" t="s">
        <v>2261</v>
      </c>
    </row>
    <row r="1153" spans="1:4" ht="13.05" customHeight="1" x14ac:dyDescent="0.3">
      <c r="A1153" s="2" t="s">
        <v>237</v>
      </c>
      <c r="B1153" s="2" t="s">
        <v>1033</v>
      </c>
      <c r="C1153" s="5" t="s">
        <v>2262</v>
      </c>
      <c r="D1153" s="2" t="s">
        <v>2263</v>
      </c>
    </row>
    <row r="1154" spans="1:4" ht="13.05" customHeight="1" x14ac:dyDescent="0.3">
      <c r="A1154" s="2" t="s">
        <v>237</v>
      </c>
      <c r="B1154" s="2" t="s">
        <v>1033</v>
      </c>
      <c r="C1154" s="5" t="s">
        <v>2264</v>
      </c>
      <c r="D1154" s="2" t="s">
        <v>2265</v>
      </c>
    </row>
    <row r="1155" spans="1:4" ht="13.05" customHeight="1" x14ac:dyDescent="0.3">
      <c r="A1155" s="2" t="s">
        <v>237</v>
      </c>
      <c r="B1155" s="2" t="s">
        <v>1033</v>
      </c>
      <c r="C1155" s="5" t="s">
        <v>2266</v>
      </c>
      <c r="D1155" s="2" t="s">
        <v>2267</v>
      </c>
    </row>
    <row r="1156" spans="1:4" ht="13.05" customHeight="1" x14ac:dyDescent="0.3">
      <c r="A1156" s="2" t="s">
        <v>237</v>
      </c>
      <c r="B1156" s="2" t="s">
        <v>1033</v>
      </c>
      <c r="C1156" s="5" t="s">
        <v>2268</v>
      </c>
      <c r="D1156" s="2" t="s">
        <v>2269</v>
      </c>
    </row>
    <row r="1157" spans="1:4" ht="13.05" customHeight="1" x14ac:dyDescent="0.3">
      <c r="A1157" s="2" t="s">
        <v>237</v>
      </c>
      <c r="B1157" s="2" t="s">
        <v>1033</v>
      </c>
      <c r="C1157" s="5" t="s">
        <v>2270</v>
      </c>
      <c r="D1157" s="2" t="s">
        <v>2271</v>
      </c>
    </row>
    <row r="1158" spans="1:4" ht="13.05" customHeight="1" x14ac:dyDescent="0.3">
      <c r="A1158" s="2" t="s">
        <v>237</v>
      </c>
      <c r="B1158" s="2" t="s">
        <v>1033</v>
      </c>
      <c r="C1158" s="5" t="s">
        <v>2272</v>
      </c>
      <c r="D1158" s="2" t="s">
        <v>2273</v>
      </c>
    </row>
    <row r="1159" spans="1:4" ht="13.05" customHeight="1" x14ac:dyDescent="0.3">
      <c r="A1159" s="2" t="s">
        <v>237</v>
      </c>
      <c r="B1159" s="2" t="s">
        <v>1033</v>
      </c>
      <c r="C1159" s="5" t="s">
        <v>2274</v>
      </c>
      <c r="D1159" s="2" t="s">
        <v>2275</v>
      </c>
    </row>
    <row r="1160" spans="1:4" ht="13.05" customHeight="1" x14ac:dyDescent="0.3">
      <c r="A1160" s="2" t="s">
        <v>237</v>
      </c>
      <c r="B1160" s="2" t="s">
        <v>1033</v>
      </c>
      <c r="C1160" s="5" t="s">
        <v>2276</v>
      </c>
      <c r="D1160" s="2" t="s">
        <v>2277</v>
      </c>
    </row>
    <row r="1161" spans="1:4" ht="13.05" customHeight="1" x14ac:dyDescent="0.3">
      <c r="A1161" s="2" t="s">
        <v>237</v>
      </c>
      <c r="B1161" s="2" t="s">
        <v>1033</v>
      </c>
      <c r="C1161" s="5" t="s">
        <v>2278</v>
      </c>
      <c r="D1161" s="2" t="s">
        <v>2279</v>
      </c>
    </row>
    <row r="1162" spans="1:4" ht="13.05" customHeight="1" x14ac:dyDescent="0.3">
      <c r="A1162" s="2" t="s">
        <v>237</v>
      </c>
      <c r="B1162" s="2" t="s">
        <v>1033</v>
      </c>
      <c r="C1162" s="5" t="s">
        <v>2280</v>
      </c>
      <c r="D1162" s="2" t="s">
        <v>2281</v>
      </c>
    </row>
    <row r="1163" spans="1:4" ht="13.05" customHeight="1" x14ac:dyDescent="0.3">
      <c r="A1163" s="2" t="s">
        <v>237</v>
      </c>
      <c r="B1163" s="2" t="s">
        <v>1033</v>
      </c>
      <c r="C1163" s="5" t="s">
        <v>2282</v>
      </c>
      <c r="D1163" s="2" t="s">
        <v>2283</v>
      </c>
    </row>
    <row r="1164" spans="1:4" ht="13.05" customHeight="1" x14ac:dyDescent="0.3">
      <c r="A1164" s="2" t="s">
        <v>237</v>
      </c>
      <c r="B1164" s="2" t="s">
        <v>1033</v>
      </c>
      <c r="C1164" s="5" t="s">
        <v>2284</v>
      </c>
      <c r="D1164" s="2" t="s">
        <v>2285</v>
      </c>
    </row>
    <row r="1165" spans="1:4" ht="13.05" customHeight="1" x14ac:dyDescent="0.3">
      <c r="A1165" s="2" t="s">
        <v>237</v>
      </c>
      <c r="B1165" s="2" t="s">
        <v>1033</v>
      </c>
      <c r="C1165" s="5" t="s">
        <v>2286</v>
      </c>
      <c r="D1165" s="2" t="s">
        <v>2287</v>
      </c>
    </row>
    <row r="1166" spans="1:4" ht="13.05" customHeight="1" x14ac:dyDescent="0.3">
      <c r="A1166" s="2" t="s">
        <v>237</v>
      </c>
      <c r="B1166" s="2" t="s">
        <v>1033</v>
      </c>
      <c r="C1166" s="5" t="s">
        <v>2288</v>
      </c>
      <c r="D1166" s="2" t="s">
        <v>2289</v>
      </c>
    </row>
    <row r="1167" spans="1:4" ht="13.05" customHeight="1" x14ac:dyDescent="0.3">
      <c r="A1167" s="2" t="s">
        <v>237</v>
      </c>
      <c r="B1167" s="2" t="s">
        <v>1033</v>
      </c>
      <c r="C1167" s="5" t="s">
        <v>2290</v>
      </c>
      <c r="D1167" s="2" t="s">
        <v>2291</v>
      </c>
    </row>
    <row r="1168" spans="1:4" ht="13.05" customHeight="1" x14ac:dyDescent="0.3">
      <c r="A1168" s="2" t="s">
        <v>237</v>
      </c>
      <c r="B1168" s="2" t="s">
        <v>1033</v>
      </c>
      <c r="C1168" s="5" t="s">
        <v>2292</v>
      </c>
      <c r="D1168" s="2" t="s">
        <v>2293</v>
      </c>
    </row>
    <row r="1169" spans="1:4" ht="13.05" customHeight="1" x14ac:dyDescent="0.3">
      <c r="A1169" s="2" t="s">
        <v>237</v>
      </c>
      <c r="B1169" s="2" t="s">
        <v>1033</v>
      </c>
      <c r="C1169" s="5" t="s">
        <v>2294</v>
      </c>
      <c r="D1169" s="2" t="s">
        <v>2295</v>
      </c>
    </row>
    <row r="1170" spans="1:4" ht="13.05" customHeight="1" x14ac:dyDescent="0.3">
      <c r="A1170" s="2" t="s">
        <v>237</v>
      </c>
      <c r="B1170" s="2" t="s">
        <v>1033</v>
      </c>
      <c r="C1170" s="5" t="s">
        <v>2296</v>
      </c>
      <c r="D1170" s="2" t="s">
        <v>2297</v>
      </c>
    </row>
    <row r="1171" spans="1:4" ht="13.05" customHeight="1" x14ac:dyDescent="0.3">
      <c r="A1171" s="2" t="s">
        <v>237</v>
      </c>
      <c r="B1171" s="2" t="s">
        <v>1033</v>
      </c>
      <c r="C1171" s="5" t="s">
        <v>2298</v>
      </c>
      <c r="D1171" s="2" t="s">
        <v>2299</v>
      </c>
    </row>
    <row r="1172" spans="1:4" ht="13.05" customHeight="1" x14ac:dyDescent="0.3">
      <c r="A1172" s="2" t="s">
        <v>237</v>
      </c>
      <c r="B1172" s="2" t="s">
        <v>1033</v>
      </c>
      <c r="C1172" s="5" t="s">
        <v>2300</v>
      </c>
      <c r="D1172" s="2" t="s">
        <v>2301</v>
      </c>
    </row>
    <row r="1173" spans="1:4" ht="13.05" customHeight="1" x14ac:dyDescent="0.3">
      <c r="A1173" s="2" t="s">
        <v>237</v>
      </c>
      <c r="B1173" s="2" t="s">
        <v>1033</v>
      </c>
      <c r="C1173" s="5" t="s">
        <v>2302</v>
      </c>
      <c r="D1173" s="2" t="s">
        <v>2303</v>
      </c>
    </row>
    <row r="1174" spans="1:4" ht="13.05" customHeight="1" x14ac:dyDescent="0.3">
      <c r="A1174" s="2" t="s">
        <v>237</v>
      </c>
      <c r="B1174" s="2" t="s">
        <v>1033</v>
      </c>
      <c r="C1174" s="5" t="s">
        <v>2304</v>
      </c>
      <c r="D1174" s="2" t="s">
        <v>2305</v>
      </c>
    </row>
    <row r="1175" spans="1:4" ht="13.05" customHeight="1" x14ac:dyDescent="0.3">
      <c r="A1175" s="2" t="s">
        <v>237</v>
      </c>
      <c r="B1175" s="2" t="s">
        <v>1033</v>
      </c>
      <c r="C1175" s="5" t="s">
        <v>2306</v>
      </c>
      <c r="D1175" s="2" t="s">
        <v>2307</v>
      </c>
    </row>
    <row r="1176" spans="1:4" ht="13.05" customHeight="1" x14ac:dyDescent="0.3">
      <c r="A1176" s="2" t="s">
        <v>237</v>
      </c>
      <c r="B1176" s="2" t="s">
        <v>1033</v>
      </c>
      <c r="C1176" s="5" t="s">
        <v>2308</v>
      </c>
      <c r="D1176" s="2" t="s">
        <v>2309</v>
      </c>
    </row>
    <row r="1177" spans="1:4" ht="13.05" customHeight="1" x14ac:dyDescent="0.3">
      <c r="A1177" s="2" t="s">
        <v>237</v>
      </c>
      <c r="B1177" s="2" t="s">
        <v>1033</v>
      </c>
      <c r="C1177" s="5" t="s">
        <v>2310</v>
      </c>
      <c r="D1177" s="2" t="s">
        <v>2311</v>
      </c>
    </row>
    <row r="1178" spans="1:4" ht="13.05" customHeight="1" x14ac:dyDescent="0.3">
      <c r="A1178" s="2" t="s">
        <v>237</v>
      </c>
      <c r="B1178" s="2" t="s">
        <v>1033</v>
      </c>
      <c r="C1178" s="5" t="s">
        <v>2312</v>
      </c>
      <c r="D1178" s="2" t="s">
        <v>2313</v>
      </c>
    </row>
    <row r="1179" spans="1:4" ht="13.05" customHeight="1" x14ac:dyDescent="0.3">
      <c r="A1179" s="2" t="s">
        <v>237</v>
      </c>
      <c r="B1179" s="2" t="s">
        <v>1033</v>
      </c>
      <c r="C1179" s="5" t="s">
        <v>2314</v>
      </c>
      <c r="D1179" s="2" t="s">
        <v>2315</v>
      </c>
    </row>
    <row r="1180" spans="1:4" ht="13.05" customHeight="1" x14ac:dyDescent="0.3">
      <c r="A1180" s="2" t="s">
        <v>237</v>
      </c>
      <c r="B1180" s="2" t="s">
        <v>1033</v>
      </c>
      <c r="C1180" s="5" t="s">
        <v>2316</v>
      </c>
      <c r="D1180" s="2" t="s">
        <v>2317</v>
      </c>
    </row>
    <row r="1181" spans="1:4" ht="13.05" customHeight="1" x14ac:dyDescent="0.3">
      <c r="A1181" s="2" t="s">
        <v>237</v>
      </c>
      <c r="B1181" s="2" t="s">
        <v>1033</v>
      </c>
      <c r="C1181" s="5" t="s">
        <v>2318</v>
      </c>
      <c r="D1181" s="2" t="s">
        <v>2319</v>
      </c>
    </row>
    <row r="1182" spans="1:4" ht="13.05" customHeight="1" x14ac:dyDescent="0.3">
      <c r="A1182" s="2" t="s">
        <v>237</v>
      </c>
      <c r="B1182" s="2" t="s">
        <v>1033</v>
      </c>
      <c r="C1182" s="5" t="s">
        <v>2320</v>
      </c>
      <c r="D1182" s="2" t="s">
        <v>2321</v>
      </c>
    </row>
    <row r="1183" spans="1:4" ht="13.05" customHeight="1" x14ac:dyDescent="0.3">
      <c r="A1183" s="2" t="s">
        <v>237</v>
      </c>
      <c r="B1183" s="2" t="s">
        <v>1033</v>
      </c>
      <c r="C1183" s="5" t="s">
        <v>2322</v>
      </c>
      <c r="D1183" s="2" t="s">
        <v>2323</v>
      </c>
    </row>
    <row r="1184" spans="1:4" ht="13.05" customHeight="1" x14ac:dyDescent="0.3">
      <c r="A1184" s="2" t="s">
        <v>237</v>
      </c>
      <c r="B1184" s="2" t="s">
        <v>1033</v>
      </c>
      <c r="C1184" s="5" t="s">
        <v>2324</v>
      </c>
      <c r="D1184" s="2" t="s">
        <v>2325</v>
      </c>
    </row>
    <row r="1185" spans="1:4" ht="13.05" customHeight="1" x14ac:dyDescent="0.3">
      <c r="A1185" s="2" t="s">
        <v>237</v>
      </c>
      <c r="B1185" s="2" t="s">
        <v>1033</v>
      </c>
      <c r="C1185" s="5" t="s">
        <v>2326</v>
      </c>
      <c r="D1185" s="2" t="s">
        <v>2327</v>
      </c>
    </row>
    <row r="1186" spans="1:4" ht="13.05" customHeight="1" x14ac:dyDescent="0.3">
      <c r="A1186" s="2" t="s">
        <v>237</v>
      </c>
      <c r="B1186" s="2" t="s">
        <v>1033</v>
      </c>
      <c r="C1186" s="5" t="s">
        <v>2328</v>
      </c>
      <c r="D1186" s="2" t="s">
        <v>2329</v>
      </c>
    </row>
    <row r="1187" spans="1:4" ht="13.05" customHeight="1" x14ac:dyDescent="0.3">
      <c r="A1187" s="2" t="s">
        <v>237</v>
      </c>
      <c r="B1187" s="2" t="s">
        <v>1033</v>
      </c>
      <c r="C1187" s="5" t="s">
        <v>2330</v>
      </c>
      <c r="D1187" s="2" t="s">
        <v>2331</v>
      </c>
    </row>
    <row r="1188" spans="1:4" ht="13.05" customHeight="1" x14ac:dyDescent="0.3">
      <c r="A1188" s="2" t="s">
        <v>237</v>
      </c>
      <c r="B1188" s="2" t="s">
        <v>1033</v>
      </c>
      <c r="C1188" s="5" t="s">
        <v>2332</v>
      </c>
      <c r="D1188" s="2" t="s">
        <v>2333</v>
      </c>
    </row>
    <row r="1189" spans="1:4" ht="13.05" customHeight="1" x14ac:dyDescent="0.3">
      <c r="A1189" s="2" t="s">
        <v>237</v>
      </c>
      <c r="B1189" s="2" t="s">
        <v>1033</v>
      </c>
      <c r="C1189" s="5" t="s">
        <v>2334</v>
      </c>
      <c r="D1189" s="2" t="s">
        <v>2335</v>
      </c>
    </row>
    <row r="1190" spans="1:4" ht="13.05" customHeight="1" x14ac:dyDescent="0.3">
      <c r="A1190" s="2" t="s">
        <v>237</v>
      </c>
      <c r="B1190" s="2" t="s">
        <v>1033</v>
      </c>
      <c r="C1190" s="5" t="s">
        <v>2336</v>
      </c>
      <c r="D1190" s="2" t="s">
        <v>2337</v>
      </c>
    </row>
    <row r="1191" spans="1:4" ht="13.05" customHeight="1" x14ac:dyDescent="0.3">
      <c r="A1191" s="2" t="s">
        <v>237</v>
      </c>
      <c r="B1191" s="2" t="s">
        <v>1033</v>
      </c>
      <c r="C1191" s="5" t="s">
        <v>2338</v>
      </c>
      <c r="D1191" s="2" t="s">
        <v>2339</v>
      </c>
    </row>
    <row r="1192" spans="1:4" ht="13.05" customHeight="1" x14ac:dyDescent="0.3">
      <c r="A1192" s="2" t="s">
        <v>237</v>
      </c>
      <c r="B1192" s="2" t="s">
        <v>1033</v>
      </c>
      <c r="C1192" s="5" t="s">
        <v>2340</v>
      </c>
      <c r="D1192" s="2" t="s">
        <v>2341</v>
      </c>
    </row>
    <row r="1193" spans="1:4" ht="13.05" customHeight="1" x14ac:dyDescent="0.3">
      <c r="A1193" s="2" t="s">
        <v>237</v>
      </c>
      <c r="B1193" s="2" t="s">
        <v>1033</v>
      </c>
      <c r="C1193" s="5" t="s">
        <v>2342</v>
      </c>
      <c r="D1193" s="2" t="s">
        <v>2343</v>
      </c>
    </row>
    <row r="1194" spans="1:4" ht="13.05" customHeight="1" x14ac:dyDescent="0.3">
      <c r="A1194" s="2" t="s">
        <v>237</v>
      </c>
      <c r="B1194" s="2" t="s">
        <v>1033</v>
      </c>
      <c r="C1194" s="5" t="s">
        <v>2344</v>
      </c>
      <c r="D1194" s="2" t="s">
        <v>2345</v>
      </c>
    </row>
    <row r="1195" spans="1:4" ht="13.05" customHeight="1" x14ac:dyDescent="0.3">
      <c r="A1195" s="2" t="s">
        <v>237</v>
      </c>
      <c r="B1195" s="2" t="s">
        <v>1033</v>
      </c>
      <c r="C1195" s="5" t="s">
        <v>2346</v>
      </c>
      <c r="D1195" s="2" t="s">
        <v>2347</v>
      </c>
    </row>
    <row r="1196" spans="1:4" ht="13.05" customHeight="1" x14ac:dyDescent="0.3">
      <c r="A1196" s="2" t="s">
        <v>237</v>
      </c>
      <c r="B1196" s="2" t="s">
        <v>1033</v>
      </c>
      <c r="C1196" s="5" t="s">
        <v>2348</v>
      </c>
      <c r="D1196" s="2" t="s">
        <v>2349</v>
      </c>
    </row>
    <row r="1197" spans="1:4" ht="13.05" customHeight="1" x14ac:dyDescent="0.3">
      <c r="A1197" s="2" t="s">
        <v>237</v>
      </c>
      <c r="B1197" s="2" t="s">
        <v>1033</v>
      </c>
      <c r="C1197" s="5" t="s">
        <v>2350</v>
      </c>
      <c r="D1197" s="2" t="s">
        <v>2351</v>
      </c>
    </row>
    <row r="1198" spans="1:4" ht="13.05" customHeight="1" x14ac:dyDescent="0.3">
      <c r="A1198" s="2" t="s">
        <v>237</v>
      </c>
      <c r="B1198" s="2" t="s">
        <v>1033</v>
      </c>
      <c r="C1198" s="5" t="s">
        <v>2352</v>
      </c>
      <c r="D1198" s="2" t="s">
        <v>2353</v>
      </c>
    </row>
    <row r="1199" spans="1:4" ht="13.05" customHeight="1" x14ac:dyDescent="0.3">
      <c r="A1199" s="2" t="s">
        <v>237</v>
      </c>
      <c r="B1199" s="2" t="s">
        <v>1033</v>
      </c>
      <c r="C1199" s="5" t="s">
        <v>2354</v>
      </c>
      <c r="D1199" s="2" t="s">
        <v>2355</v>
      </c>
    </row>
    <row r="1200" spans="1:4" ht="13.05" customHeight="1" x14ac:dyDescent="0.3">
      <c r="A1200" s="2" t="s">
        <v>237</v>
      </c>
      <c r="B1200" s="2" t="s">
        <v>1033</v>
      </c>
      <c r="C1200" s="5" t="s">
        <v>2356</v>
      </c>
      <c r="D1200" s="2" t="s">
        <v>2357</v>
      </c>
    </row>
    <row r="1201" spans="1:4" ht="13.05" customHeight="1" x14ac:dyDescent="0.3">
      <c r="A1201" s="2" t="s">
        <v>237</v>
      </c>
      <c r="B1201" s="2" t="s">
        <v>1033</v>
      </c>
      <c r="C1201" s="5" t="s">
        <v>2358</v>
      </c>
      <c r="D1201" s="2" t="s">
        <v>2359</v>
      </c>
    </row>
    <row r="1202" spans="1:4" ht="13.05" customHeight="1" x14ac:dyDescent="0.3">
      <c r="A1202" s="2" t="s">
        <v>237</v>
      </c>
      <c r="B1202" s="2" t="s">
        <v>1033</v>
      </c>
      <c r="C1202" s="5" t="s">
        <v>2360</v>
      </c>
      <c r="D1202" s="2" t="s">
        <v>2361</v>
      </c>
    </row>
    <row r="1203" spans="1:4" ht="13.05" customHeight="1" x14ac:dyDescent="0.3">
      <c r="A1203" s="2" t="s">
        <v>237</v>
      </c>
      <c r="B1203" s="2" t="s">
        <v>1033</v>
      </c>
      <c r="C1203" s="5" t="s">
        <v>2362</v>
      </c>
      <c r="D1203" s="2" t="s">
        <v>2363</v>
      </c>
    </row>
    <row r="1204" spans="1:4" ht="13.05" customHeight="1" x14ac:dyDescent="0.3">
      <c r="A1204" s="2" t="s">
        <v>237</v>
      </c>
      <c r="B1204" s="2" t="s">
        <v>1033</v>
      </c>
      <c r="C1204" s="5" t="s">
        <v>2364</v>
      </c>
      <c r="D1204" s="2" t="s">
        <v>2365</v>
      </c>
    </row>
    <row r="1205" spans="1:4" ht="13.05" customHeight="1" x14ac:dyDescent="0.3">
      <c r="A1205" s="2" t="s">
        <v>237</v>
      </c>
      <c r="B1205" s="2" t="s">
        <v>1033</v>
      </c>
      <c r="C1205" s="5" t="s">
        <v>2366</v>
      </c>
      <c r="D1205" s="2" t="s">
        <v>2367</v>
      </c>
    </row>
    <row r="1206" spans="1:4" ht="13.05" customHeight="1" x14ac:dyDescent="0.3">
      <c r="A1206" s="2" t="s">
        <v>237</v>
      </c>
      <c r="B1206" s="2" t="s">
        <v>1033</v>
      </c>
      <c r="C1206" s="5" t="s">
        <v>2368</v>
      </c>
      <c r="D1206" s="2" t="s">
        <v>2369</v>
      </c>
    </row>
    <row r="1207" spans="1:4" ht="13.05" customHeight="1" x14ac:dyDescent="0.3">
      <c r="A1207" s="2" t="s">
        <v>237</v>
      </c>
      <c r="B1207" s="2" t="s">
        <v>1033</v>
      </c>
      <c r="C1207" s="5" t="s">
        <v>2370</v>
      </c>
      <c r="D1207" s="2" t="s">
        <v>2371</v>
      </c>
    </row>
    <row r="1208" spans="1:4" ht="13.05" customHeight="1" x14ac:dyDescent="0.3">
      <c r="A1208" s="2" t="s">
        <v>237</v>
      </c>
      <c r="B1208" s="2" t="s">
        <v>1033</v>
      </c>
      <c r="C1208" s="5" t="s">
        <v>2372</v>
      </c>
      <c r="D1208" s="2" t="s">
        <v>2373</v>
      </c>
    </row>
    <row r="1209" spans="1:4" ht="13.05" customHeight="1" x14ac:dyDescent="0.3">
      <c r="A1209" s="2" t="s">
        <v>237</v>
      </c>
      <c r="B1209" s="2" t="s">
        <v>1033</v>
      </c>
      <c r="C1209" s="5" t="s">
        <v>2374</v>
      </c>
      <c r="D1209" s="2" t="s">
        <v>2375</v>
      </c>
    </row>
    <row r="1210" spans="1:4" ht="13.05" customHeight="1" x14ac:dyDescent="0.3">
      <c r="A1210" s="2" t="s">
        <v>237</v>
      </c>
      <c r="B1210" s="2" t="s">
        <v>1033</v>
      </c>
      <c r="C1210" s="5" t="s">
        <v>2376</v>
      </c>
      <c r="D1210" s="2" t="s">
        <v>2377</v>
      </c>
    </row>
    <row r="1211" spans="1:4" ht="13.05" customHeight="1" x14ac:dyDescent="0.3">
      <c r="A1211" s="2" t="s">
        <v>237</v>
      </c>
      <c r="B1211" s="2" t="s">
        <v>1033</v>
      </c>
      <c r="C1211" s="5" t="s">
        <v>2378</v>
      </c>
      <c r="D1211" s="2" t="s">
        <v>2379</v>
      </c>
    </row>
    <row r="1212" spans="1:4" ht="13.05" customHeight="1" x14ac:dyDescent="0.3">
      <c r="A1212" s="2" t="s">
        <v>237</v>
      </c>
      <c r="B1212" s="2" t="s">
        <v>1033</v>
      </c>
      <c r="C1212" s="5" t="s">
        <v>2380</v>
      </c>
      <c r="D1212" s="2" t="s">
        <v>2381</v>
      </c>
    </row>
    <row r="1213" spans="1:4" ht="13.05" customHeight="1" x14ac:dyDescent="0.3">
      <c r="A1213" s="2" t="s">
        <v>237</v>
      </c>
      <c r="B1213" s="2" t="s">
        <v>1033</v>
      </c>
      <c r="C1213" s="5" t="s">
        <v>2382</v>
      </c>
      <c r="D1213" s="2" t="s">
        <v>2383</v>
      </c>
    </row>
    <row r="1214" spans="1:4" ht="13.05" customHeight="1" x14ac:dyDescent="0.3">
      <c r="A1214" s="2" t="s">
        <v>237</v>
      </c>
      <c r="B1214" s="2" t="s">
        <v>1033</v>
      </c>
      <c r="C1214" s="5" t="s">
        <v>2384</v>
      </c>
      <c r="D1214" s="2" t="s">
        <v>2385</v>
      </c>
    </row>
    <row r="1215" spans="1:4" ht="13.05" customHeight="1" x14ac:dyDescent="0.3">
      <c r="A1215" s="2" t="s">
        <v>237</v>
      </c>
      <c r="B1215" s="2" t="s">
        <v>1033</v>
      </c>
      <c r="C1215" s="5" t="s">
        <v>2386</v>
      </c>
      <c r="D1215" s="2" t="s">
        <v>2387</v>
      </c>
    </row>
    <row r="1216" spans="1:4" ht="13.05" customHeight="1" x14ac:dyDescent="0.3">
      <c r="A1216" s="2" t="s">
        <v>237</v>
      </c>
      <c r="B1216" s="2" t="s">
        <v>1033</v>
      </c>
      <c r="C1216" s="5" t="s">
        <v>2388</v>
      </c>
      <c r="D1216" s="2" t="s">
        <v>2389</v>
      </c>
    </row>
    <row r="1217" spans="1:4" ht="13.05" customHeight="1" x14ac:dyDescent="0.3">
      <c r="A1217" s="2" t="s">
        <v>237</v>
      </c>
      <c r="B1217" s="2" t="s">
        <v>1033</v>
      </c>
      <c r="C1217" s="5" t="s">
        <v>2390</v>
      </c>
      <c r="D1217" s="2" t="s">
        <v>2391</v>
      </c>
    </row>
    <row r="1218" spans="1:4" ht="13.05" customHeight="1" x14ac:dyDescent="0.3">
      <c r="A1218" s="2" t="s">
        <v>237</v>
      </c>
      <c r="B1218" s="2" t="s">
        <v>1033</v>
      </c>
      <c r="C1218" s="5" t="s">
        <v>2392</v>
      </c>
      <c r="D1218" s="2" t="s">
        <v>2393</v>
      </c>
    </row>
    <row r="1219" spans="1:4" ht="13.05" customHeight="1" x14ac:dyDescent="0.3">
      <c r="A1219" s="2" t="s">
        <v>237</v>
      </c>
      <c r="B1219" s="2" t="s">
        <v>1033</v>
      </c>
      <c r="C1219" s="5" t="s">
        <v>2394</v>
      </c>
      <c r="D1219" s="2" t="s">
        <v>2395</v>
      </c>
    </row>
    <row r="1220" spans="1:4" ht="13.05" customHeight="1" x14ac:dyDescent="0.3">
      <c r="A1220" s="2" t="s">
        <v>237</v>
      </c>
      <c r="B1220" s="2" t="s">
        <v>1033</v>
      </c>
      <c r="C1220" s="5" t="s">
        <v>2396</v>
      </c>
      <c r="D1220" s="2" t="s">
        <v>2397</v>
      </c>
    </row>
    <row r="1221" spans="1:4" ht="13.05" customHeight="1" x14ac:dyDescent="0.3">
      <c r="A1221" s="2" t="s">
        <v>237</v>
      </c>
      <c r="B1221" s="2" t="s">
        <v>1033</v>
      </c>
      <c r="C1221" s="5" t="s">
        <v>2398</v>
      </c>
      <c r="D1221" s="2" t="s">
        <v>2399</v>
      </c>
    </row>
    <row r="1222" spans="1:4" ht="13.05" customHeight="1" x14ac:dyDescent="0.3">
      <c r="A1222" s="2" t="s">
        <v>237</v>
      </c>
      <c r="B1222" s="2" t="s">
        <v>1033</v>
      </c>
      <c r="C1222" s="5" t="s">
        <v>2400</v>
      </c>
      <c r="D1222" s="2" t="s">
        <v>2401</v>
      </c>
    </row>
    <row r="1223" spans="1:4" ht="13.05" customHeight="1" x14ac:dyDescent="0.3">
      <c r="A1223" s="2" t="s">
        <v>237</v>
      </c>
      <c r="B1223" s="2" t="s">
        <v>1033</v>
      </c>
      <c r="C1223" s="5" t="s">
        <v>2402</v>
      </c>
      <c r="D1223" s="2" t="s">
        <v>2403</v>
      </c>
    </row>
    <row r="1224" spans="1:4" ht="13.05" customHeight="1" x14ac:dyDescent="0.3">
      <c r="A1224" s="2" t="s">
        <v>237</v>
      </c>
      <c r="B1224" s="2" t="s">
        <v>1033</v>
      </c>
      <c r="C1224" s="5" t="s">
        <v>2404</v>
      </c>
      <c r="D1224" s="2" t="s">
        <v>2405</v>
      </c>
    </row>
    <row r="1225" spans="1:4" ht="13.05" customHeight="1" x14ac:dyDescent="0.3">
      <c r="A1225" s="2" t="s">
        <v>237</v>
      </c>
      <c r="B1225" s="2" t="s">
        <v>1033</v>
      </c>
      <c r="C1225" s="5" t="s">
        <v>2406</v>
      </c>
      <c r="D1225" s="2" t="s">
        <v>2407</v>
      </c>
    </row>
    <row r="1226" spans="1:4" ht="13.05" customHeight="1" x14ac:dyDescent="0.3">
      <c r="A1226" s="2" t="s">
        <v>237</v>
      </c>
      <c r="B1226" s="2" t="s">
        <v>1033</v>
      </c>
      <c r="C1226" s="5" t="s">
        <v>2408</v>
      </c>
      <c r="D1226" s="2" t="s">
        <v>2409</v>
      </c>
    </row>
    <row r="1227" spans="1:4" ht="13.05" customHeight="1" x14ac:dyDescent="0.3">
      <c r="A1227" s="2" t="s">
        <v>237</v>
      </c>
      <c r="B1227" s="2" t="s">
        <v>1033</v>
      </c>
      <c r="C1227" s="5" t="s">
        <v>2410</v>
      </c>
      <c r="D1227" s="2" t="s">
        <v>2411</v>
      </c>
    </row>
    <row r="1228" spans="1:4" ht="13.05" customHeight="1" x14ac:dyDescent="0.3">
      <c r="A1228" s="2" t="s">
        <v>237</v>
      </c>
      <c r="B1228" s="2" t="s">
        <v>1033</v>
      </c>
      <c r="C1228" s="5" t="s">
        <v>2412</v>
      </c>
      <c r="D1228" s="2" t="s">
        <v>2413</v>
      </c>
    </row>
    <row r="1229" spans="1:4" ht="13.05" customHeight="1" x14ac:dyDescent="0.3">
      <c r="A1229" s="2" t="s">
        <v>237</v>
      </c>
      <c r="B1229" s="2" t="s">
        <v>1033</v>
      </c>
      <c r="C1229" s="5" t="s">
        <v>2414</v>
      </c>
      <c r="D1229" s="2" t="s">
        <v>2415</v>
      </c>
    </row>
    <row r="1230" spans="1:4" ht="13.05" customHeight="1" x14ac:dyDescent="0.3">
      <c r="A1230" s="2" t="s">
        <v>237</v>
      </c>
      <c r="B1230" s="2" t="s">
        <v>1033</v>
      </c>
      <c r="C1230" s="5" t="s">
        <v>2416</v>
      </c>
      <c r="D1230" s="2" t="s">
        <v>2417</v>
      </c>
    </row>
    <row r="1231" spans="1:4" ht="13.05" customHeight="1" x14ac:dyDescent="0.3">
      <c r="A1231" s="2" t="s">
        <v>237</v>
      </c>
      <c r="B1231" s="2" t="s">
        <v>1033</v>
      </c>
      <c r="C1231" s="5" t="s">
        <v>2418</v>
      </c>
      <c r="D1231" s="2" t="s">
        <v>2419</v>
      </c>
    </row>
    <row r="1232" spans="1:4" ht="13.05" customHeight="1" x14ac:dyDescent="0.3">
      <c r="A1232" s="2" t="s">
        <v>237</v>
      </c>
      <c r="B1232" s="2" t="s">
        <v>1033</v>
      </c>
      <c r="C1232" s="5" t="s">
        <v>2420</v>
      </c>
      <c r="D1232" s="2" t="s">
        <v>2421</v>
      </c>
    </row>
    <row r="1233" spans="1:4" ht="13.05" customHeight="1" x14ac:dyDescent="0.3">
      <c r="A1233" s="2" t="s">
        <v>237</v>
      </c>
      <c r="B1233" s="2" t="s">
        <v>1033</v>
      </c>
      <c r="C1233" s="5" t="s">
        <v>2422</v>
      </c>
      <c r="D1233" s="2" t="s">
        <v>2423</v>
      </c>
    </row>
    <row r="1234" spans="1:4" ht="13.05" customHeight="1" x14ac:dyDescent="0.3">
      <c r="A1234" s="2" t="s">
        <v>237</v>
      </c>
      <c r="B1234" s="2" t="s">
        <v>1033</v>
      </c>
      <c r="C1234" s="5" t="s">
        <v>2424</v>
      </c>
      <c r="D1234" s="2" t="s">
        <v>2425</v>
      </c>
    </row>
    <row r="1235" spans="1:4" ht="13.05" customHeight="1" x14ac:dyDescent="0.3">
      <c r="A1235" s="2" t="s">
        <v>237</v>
      </c>
      <c r="B1235" s="2" t="s">
        <v>1033</v>
      </c>
      <c r="C1235" s="5" t="s">
        <v>2426</v>
      </c>
      <c r="D1235" s="2" t="s">
        <v>2427</v>
      </c>
    </row>
    <row r="1236" spans="1:4" ht="13.05" customHeight="1" x14ac:dyDescent="0.3">
      <c r="A1236" s="2" t="s">
        <v>237</v>
      </c>
      <c r="B1236" s="2" t="s">
        <v>1033</v>
      </c>
      <c r="C1236" s="5" t="s">
        <v>2428</v>
      </c>
      <c r="D1236" s="2" t="s">
        <v>2429</v>
      </c>
    </row>
    <row r="1237" spans="1:4" ht="13.05" customHeight="1" x14ac:dyDescent="0.3">
      <c r="A1237" s="2" t="s">
        <v>237</v>
      </c>
      <c r="B1237" s="2" t="s">
        <v>1033</v>
      </c>
      <c r="C1237" s="5" t="s">
        <v>2430</v>
      </c>
      <c r="D1237" s="2" t="s">
        <v>2431</v>
      </c>
    </row>
    <row r="1238" spans="1:4" ht="13.05" customHeight="1" x14ac:dyDescent="0.3">
      <c r="A1238" s="2" t="s">
        <v>237</v>
      </c>
      <c r="B1238" s="2" t="s">
        <v>1033</v>
      </c>
      <c r="C1238" s="5" t="s">
        <v>2432</v>
      </c>
      <c r="D1238" s="2" t="s">
        <v>2433</v>
      </c>
    </row>
    <row r="1239" spans="1:4" ht="13.05" customHeight="1" x14ac:dyDescent="0.3">
      <c r="A1239" s="2" t="s">
        <v>237</v>
      </c>
      <c r="B1239" s="2" t="s">
        <v>1033</v>
      </c>
      <c r="C1239" s="5" t="s">
        <v>2434</v>
      </c>
      <c r="D1239" s="2" t="s">
        <v>2435</v>
      </c>
    </row>
    <row r="1240" spans="1:4" ht="13.05" customHeight="1" x14ac:dyDescent="0.3">
      <c r="A1240" s="2" t="s">
        <v>237</v>
      </c>
      <c r="B1240" s="2" t="s">
        <v>1033</v>
      </c>
      <c r="C1240" s="5" t="s">
        <v>2436</v>
      </c>
      <c r="D1240" s="2" t="s">
        <v>2437</v>
      </c>
    </row>
    <row r="1241" spans="1:4" ht="13.05" customHeight="1" x14ac:dyDescent="0.3">
      <c r="A1241" s="2" t="s">
        <v>237</v>
      </c>
      <c r="B1241" s="2" t="s">
        <v>1033</v>
      </c>
      <c r="C1241" s="5" t="s">
        <v>2438</v>
      </c>
      <c r="D1241" s="2" t="s">
        <v>2439</v>
      </c>
    </row>
    <row r="1242" spans="1:4" ht="13.05" customHeight="1" x14ac:dyDescent="0.3">
      <c r="A1242" s="2" t="s">
        <v>237</v>
      </c>
      <c r="B1242" s="2" t="s">
        <v>1033</v>
      </c>
      <c r="C1242" s="5" t="s">
        <v>2440</v>
      </c>
      <c r="D1242" s="2" t="s">
        <v>2441</v>
      </c>
    </row>
    <row r="1243" spans="1:4" ht="13.05" customHeight="1" x14ac:dyDescent="0.3">
      <c r="A1243" s="2" t="s">
        <v>237</v>
      </c>
      <c r="B1243" s="2" t="s">
        <v>1033</v>
      </c>
      <c r="C1243" s="5" t="s">
        <v>2442</v>
      </c>
      <c r="D1243" s="2" t="s">
        <v>2443</v>
      </c>
    </row>
    <row r="1244" spans="1:4" ht="13.05" customHeight="1" x14ac:dyDescent="0.3">
      <c r="A1244" s="2" t="s">
        <v>237</v>
      </c>
      <c r="B1244" s="2" t="s">
        <v>1033</v>
      </c>
      <c r="C1244" s="5" t="s">
        <v>2444</v>
      </c>
      <c r="D1244" s="2" t="s">
        <v>2445</v>
      </c>
    </row>
    <row r="1245" spans="1:4" ht="13.05" customHeight="1" x14ac:dyDescent="0.3">
      <c r="A1245" s="2" t="s">
        <v>237</v>
      </c>
      <c r="B1245" s="2" t="s">
        <v>1033</v>
      </c>
      <c r="C1245" s="5" t="s">
        <v>2446</v>
      </c>
      <c r="D1245" s="2" t="s">
        <v>2447</v>
      </c>
    </row>
    <row r="1246" spans="1:4" ht="13.05" customHeight="1" x14ac:dyDescent="0.3">
      <c r="A1246" s="2" t="s">
        <v>237</v>
      </c>
      <c r="B1246" s="2" t="s">
        <v>1033</v>
      </c>
      <c r="C1246" s="5" t="s">
        <v>2448</v>
      </c>
      <c r="D1246" s="2" t="s">
        <v>2449</v>
      </c>
    </row>
    <row r="1247" spans="1:4" ht="13.05" customHeight="1" x14ac:dyDescent="0.3">
      <c r="A1247" s="2" t="s">
        <v>237</v>
      </c>
      <c r="B1247" s="2" t="s">
        <v>1033</v>
      </c>
      <c r="C1247" s="5" t="s">
        <v>2450</v>
      </c>
      <c r="D1247" s="2" t="s">
        <v>2451</v>
      </c>
    </row>
    <row r="1248" spans="1:4" ht="13.05" customHeight="1" x14ac:dyDescent="0.3">
      <c r="A1248" s="2" t="s">
        <v>237</v>
      </c>
      <c r="B1248" s="2" t="s">
        <v>1033</v>
      </c>
      <c r="C1248" s="5" t="s">
        <v>2452</v>
      </c>
      <c r="D1248" s="2" t="s">
        <v>2453</v>
      </c>
    </row>
    <row r="1249" spans="1:4" ht="13.05" customHeight="1" x14ac:dyDescent="0.3">
      <c r="A1249" s="2" t="s">
        <v>237</v>
      </c>
      <c r="B1249" s="2" t="s">
        <v>1033</v>
      </c>
      <c r="C1249" s="5" t="s">
        <v>2454</v>
      </c>
      <c r="D1249" s="2" t="s">
        <v>2455</v>
      </c>
    </row>
    <row r="1250" spans="1:4" ht="13.05" customHeight="1" x14ac:dyDescent="0.3">
      <c r="A1250" s="2" t="s">
        <v>237</v>
      </c>
      <c r="B1250" s="2" t="s">
        <v>1033</v>
      </c>
      <c r="C1250" s="5" t="s">
        <v>2456</v>
      </c>
      <c r="D1250" s="2" t="s">
        <v>2457</v>
      </c>
    </row>
    <row r="1251" spans="1:4" ht="13.05" customHeight="1" x14ac:dyDescent="0.3">
      <c r="A1251" s="2" t="s">
        <v>237</v>
      </c>
      <c r="B1251" s="2" t="s">
        <v>1033</v>
      </c>
      <c r="C1251" s="5" t="s">
        <v>2458</v>
      </c>
      <c r="D1251" s="2" t="s">
        <v>2459</v>
      </c>
    </row>
    <row r="1252" spans="1:4" ht="13.05" customHeight="1" x14ac:dyDescent="0.3">
      <c r="A1252" s="2" t="s">
        <v>237</v>
      </c>
      <c r="B1252" s="2" t="s">
        <v>1033</v>
      </c>
      <c r="C1252" s="5" t="s">
        <v>2460</v>
      </c>
      <c r="D1252" s="2" t="s">
        <v>2461</v>
      </c>
    </row>
    <row r="1253" spans="1:4" ht="13.05" customHeight="1" x14ac:dyDescent="0.3">
      <c r="A1253" s="2" t="s">
        <v>237</v>
      </c>
      <c r="B1253" s="2" t="s">
        <v>1033</v>
      </c>
      <c r="C1253" s="5" t="s">
        <v>2462</v>
      </c>
      <c r="D1253" s="2" t="s">
        <v>2463</v>
      </c>
    </row>
    <row r="1254" spans="1:4" ht="13.05" customHeight="1" x14ac:dyDescent="0.3">
      <c r="A1254" s="2" t="s">
        <v>237</v>
      </c>
      <c r="B1254" s="2" t="s">
        <v>1033</v>
      </c>
      <c r="C1254" s="5" t="s">
        <v>2464</v>
      </c>
      <c r="D1254" s="2" t="s">
        <v>2465</v>
      </c>
    </row>
    <row r="1255" spans="1:4" ht="13.05" customHeight="1" x14ac:dyDescent="0.3">
      <c r="A1255" s="2" t="s">
        <v>237</v>
      </c>
      <c r="B1255" s="2" t="s">
        <v>1033</v>
      </c>
      <c r="C1255" s="5" t="s">
        <v>2466</v>
      </c>
      <c r="D1255" s="2" t="s">
        <v>2467</v>
      </c>
    </row>
    <row r="1256" spans="1:4" ht="13.05" customHeight="1" x14ac:dyDescent="0.3">
      <c r="A1256" s="2" t="s">
        <v>237</v>
      </c>
      <c r="B1256" s="2" t="s">
        <v>1033</v>
      </c>
      <c r="C1256" s="5" t="s">
        <v>2468</v>
      </c>
      <c r="D1256" s="2" t="s">
        <v>2469</v>
      </c>
    </row>
    <row r="1257" spans="1:4" ht="13.05" customHeight="1" x14ac:dyDescent="0.3">
      <c r="A1257" s="2" t="s">
        <v>237</v>
      </c>
      <c r="B1257" s="2" t="s">
        <v>1033</v>
      </c>
      <c r="C1257" s="5" t="s">
        <v>2470</v>
      </c>
      <c r="D1257" s="2" t="s">
        <v>2471</v>
      </c>
    </row>
    <row r="1258" spans="1:4" ht="13.05" customHeight="1" x14ac:dyDescent="0.3">
      <c r="A1258" s="2" t="s">
        <v>237</v>
      </c>
      <c r="B1258" s="2" t="s">
        <v>1033</v>
      </c>
      <c r="C1258" s="5" t="s">
        <v>2472</v>
      </c>
      <c r="D1258" s="2" t="s">
        <v>2473</v>
      </c>
    </row>
    <row r="1259" spans="1:4" ht="13.05" customHeight="1" x14ac:dyDescent="0.3">
      <c r="A1259" s="2" t="s">
        <v>237</v>
      </c>
      <c r="B1259" s="2" t="s">
        <v>1033</v>
      </c>
      <c r="C1259" s="5" t="s">
        <v>2474</v>
      </c>
      <c r="D1259" s="2" t="s">
        <v>2475</v>
      </c>
    </row>
    <row r="1260" spans="1:4" ht="13.05" customHeight="1" x14ac:dyDescent="0.3">
      <c r="A1260" s="2" t="s">
        <v>237</v>
      </c>
      <c r="B1260" s="2" t="s">
        <v>1033</v>
      </c>
      <c r="C1260" s="5" t="s">
        <v>2476</v>
      </c>
      <c r="D1260" s="2" t="s">
        <v>2477</v>
      </c>
    </row>
    <row r="1261" spans="1:4" ht="13.05" customHeight="1" x14ac:dyDescent="0.3">
      <c r="A1261" s="2" t="s">
        <v>237</v>
      </c>
      <c r="B1261" s="2" t="s">
        <v>1033</v>
      </c>
      <c r="C1261" s="5" t="s">
        <v>2478</v>
      </c>
      <c r="D1261" s="2" t="s">
        <v>2479</v>
      </c>
    </row>
    <row r="1262" spans="1:4" ht="13.05" customHeight="1" x14ac:dyDescent="0.3">
      <c r="A1262" s="2" t="s">
        <v>237</v>
      </c>
      <c r="B1262" s="2" t="s">
        <v>1033</v>
      </c>
      <c r="C1262" s="5" t="s">
        <v>2480</v>
      </c>
      <c r="D1262" s="2" t="s">
        <v>2481</v>
      </c>
    </row>
    <row r="1263" spans="1:4" ht="13.05" customHeight="1" x14ac:dyDescent="0.3">
      <c r="A1263" s="2" t="s">
        <v>237</v>
      </c>
      <c r="B1263" s="2" t="s">
        <v>1033</v>
      </c>
      <c r="C1263" s="5" t="s">
        <v>2482</v>
      </c>
      <c r="D1263" s="2" t="s">
        <v>2483</v>
      </c>
    </row>
    <row r="1264" spans="1:4" ht="13.05" customHeight="1" x14ac:dyDescent="0.3">
      <c r="A1264" s="2" t="s">
        <v>237</v>
      </c>
      <c r="B1264" s="2" t="s">
        <v>1033</v>
      </c>
      <c r="C1264" s="5" t="s">
        <v>2484</v>
      </c>
      <c r="D1264" s="2" t="s">
        <v>2485</v>
      </c>
    </row>
    <row r="1265" spans="1:4" ht="13.05" customHeight="1" x14ac:dyDescent="0.3">
      <c r="A1265" s="2" t="s">
        <v>237</v>
      </c>
      <c r="B1265" s="2" t="s">
        <v>1033</v>
      </c>
      <c r="C1265" s="5" t="s">
        <v>2486</v>
      </c>
      <c r="D1265" s="2" t="s">
        <v>2487</v>
      </c>
    </row>
    <row r="1266" spans="1:4" ht="13.05" customHeight="1" x14ac:dyDescent="0.3">
      <c r="A1266" s="2" t="s">
        <v>237</v>
      </c>
      <c r="B1266" s="2" t="s">
        <v>1033</v>
      </c>
      <c r="C1266" s="5" t="s">
        <v>2488</v>
      </c>
      <c r="D1266" s="2" t="s">
        <v>2489</v>
      </c>
    </row>
    <row r="1267" spans="1:4" ht="13.05" customHeight="1" x14ac:dyDescent="0.3">
      <c r="A1267" s="2" t="s">
        <v>237</v>
      </c>
      <c r="B1267" s="2" t="s">
        <v>1033</v>
      </c>
      <c r="C1267" s="5" t="s">
        <v>2490</v>
      </c>
      <c r="D1267" s="2" t="s">
        <v>2491</v>
      </c>
    </row>
    <row r="1268" spans="1:4" ht="13.05" customHeight="1" x14ac:dyDescent="0.3">
      <c r="A1268" s="2" t="s">
        <v>237</v>
      </c>
      <c r="B1268" s="2" t="s">
        <v>1033</v>
      </c>
      <c r="C1268" s="5" t="s">
        <v>2492</v>
      </c>
      <c r="D1268" s="2" t="s">
        <v>2493</v>
      </c>
    </row>
    <row r="1269" spans="1:4" ht="13.05" customHeight="1" x14ac:dyDescent="0.3">
      <c r="A1269" s="2" t="s">
        <v>237</v>
      </c>
      <c r="B1269" s="2" t="s">
        <v>1033</v>
      </c>
      <c r="C1269" s="5" t="s">
        <v>2494</v>
      </c>
      <c r="D1269" s="2" t="s">
        <v>2495</v>
      </c>
    </row>
    <row r="1270" spans="1:4" ht="13.05" customHeight="1" x14ac:dyDescent="0.3">
      <c r="A1270" s="2" t="s">
        <v>237</v>
      </c>
      <c r="B1270" s="2" t="s">
        <v>1033</v>
      </c>
      <c r="C1270" s="5" t="s">
        <v>2496</v>
      </c>
      <c r="D1270" s="2" t="s">
        <v>2497</v>
      </c>
    </row>
    <row r="1271" spans="1:4" ht="13.05" customHeight="1" x14ac:dyDescent="0.3">
      <c r="A1271" s="2" t="s">
        <v>237</v>
      </c>
      <c r="B1271" s="2" t="s">
        <v>1033</v>
      </c>
      <c r="C1271" s="5" t="s">
        <v>2498</v>
      </c>
      <c r="D1271" s="2" t="s">
        <v>2499</v>
      </c>
    </row>
    <row r="1272" spans="1:4" ht="13.05" customHeight="1" x14ac:dyDescent="0.3">
      <c r="A1272" s="2" t="s">
        <v>237</v>
      </c>
      <c r="B1272" s="2" t="s">
        <v>1033</v>
      </c>
      <c r="C1272" s="5" t="s">
        <v>2500</v>
      </c>
      <c r="D1272" s="2" t="s">
        <v>2501</v>
      </c>
    </row>
    <row r="1273" spans="1:4" ht="13.05" customHeight="1" x14ac:dyDescent="0.3">
      <c r="A1273" s="2" t="s">
        <v>237</v>
      </c>
      <c r="B1273" s="2" t="s">
        <v>1033</v>
      </c>
      <c r="C1273" s="5" t="s">
        <v>2502</v>
      </c>
      <c r="D1273" s="2" t="s">
        <v>2503</v>
      </c>
    </row>
    <row r="1274" spans="1:4" ht="13.05" customHeight="1" x14ac:dyDescent="0.3">
      <c r="A1274" s="2" t="s">
        <v>237</v>
      </c>
      <c r="B1274" s="2" t="s">
        <v>1033</v>
      </c>
      <c r="C1274" s="5" t="s">
        <v>2504</v>
      </c>
      <c r="D1274" s="2" t="s">
        <v>2505</v>
      </c>
    </row>
    <row r="1275" spans="1:4" ht="13.05" customHeight="1" x14ac:dyDescent="0.3">
      <c r="A1275" s="2" t="s">
        <v>237</v>
      </c>
      <c r="B1275" s="2" t="s">
        <v>1033</v>
      </c>
      <c r="C1275" s="5" t="s">
        <v>2506</v>
      </c>
      <c r="D1275" s="2" t="s">
        <v>2507</v>
      </c>
    </row>
    <row r="1276" spans="1:4" ht="13.05" customHeight="1" x14ac:dyDescent="0.3">
      <c r="A1276" s="2" t="s">
        <v>237</v>
      </c>
      <c r="B1276" s="2" t="s">
        <v>1033</v>
      </c>
      <c r="C1276" s="5" t="s">
        <v>2508</v>
      </c>
      <c r="D1276" s="2" t="s">
        <v>2509</v>
      </c>
    </row>
    <row r="1277" spans="1:4" ht="13.05" customHeight="1" x14ac:dyDescent="0.3">
      <c r="A1277" s="2" t="s">
        <v>237</v>
      </c>
      <c r="B1277" s="2" t="s">
        <v>1033</v>
      </c>
      <c r="C1277" s="5" t="s">
        <v>2510</v>
      </c>
      <c r="D1277" s="2" t="s">
        <v>2511</v>
      </c>
    </row>
    <row r="1278" spans="1:4" ht="13.05" customHeight="1" x14ac:dyDescent="0.3">
      <c r="A1278" s="2" t="s">
        <v>237</v>
      </c>
      <c r="B1278" s="2" t="s">
        <v>1033</v>
      </c>
      <c r="C1278" s="5" t="s">
        <v>2512</v>
      </c>
      <c r="D1278" s="2" t="s">
        <v>2513</v>
      </c>
    </row>
    <row r="1279" spans="1:4" ht="13.05" customHeight="1" x14ac:dyDescent="0.3">
      <c r="A1279" s="2" t="s">
        <v>237</v>
      </c>
      <c r="B1279" s="2" t="s">
        <v>1033</v>
      </c>
      <c r="C1279" s="5" t="s">
        <v>2514</v>
      </c>
      <c r="D1279" s="2" t="s">
        <v>2515</v>
      </c>
    </row>
    <row r="1280" spans="1:4" ht="13.05" customHeight="1" x14ac:dyDescent="0.3">
      <c r="A1280" s="2" t="s">
        <v>237</v>
      </c>
      <c r="B1280" s="2" t="s">
        <v>1033</v>
      </c>
      <c r="C1280" s="5" t="s">
        <v>2516</v>
      </c>
      <c r="D1280" s="2" t="s">
        <v>2517</v>
      </c>
    </row>
    <row r="1281" spans="1:4" ht="13.05" customHeight="1" x14ac:dyDescent="0.3">
      <c r="A1281" s="2" t="s">
        <v>237</v>
      </c>
      <c r="B1281" s="2" t="s">
        <v>1033</v>
      </c>
      <c r="C1281" s="5" t="s">
        <v>2518</v>
      </c>
      <c r="D1281" s="2" t="s">
        <v>2519</v>
      </c>
    </row>
    <row r="1282" spans="1:4" ht="13.05" customHeight="1" x14ac:dyDescent="0.3">
      <c r="A1282" s="2" t="s">
        <v>237</v>
      </c>
      <c r="B1282" s="2" t="s">
        <v>1033</v>
      </c>
      <c r="C1282" s="5" t="s">
        <v>2520</v>
      </c>
      <c r="D1282" s="2" t="s">
        <v>2521</v>
      </c>
    </row>
    <row r="1283" spans="1:4" ht="13.05" customHeight="1" x14ac:dyDescent="0.3">
      <c r="A1283" s="2" t="s">
        <v>237</v>
      </c>
      <c r="B1283" s="2" t="s">
        <v>1033</v>
      </c>
      <c r="C1283" s="5" t="s">
        <v>2522</v>
      </c>
      <c r="D1283" s="2" t="s">
        <v>2523</v>
      </c>
    </row>
    <row r="1284" spans="1:4" ht="13.05" customHeight="1" x14ac:dyDescent="0.3">
      <c r="A1284" s="2" t="s">
        <v>237</v>
      </c>
      <c r="B1284" s="2" t="s">
        <v>1033</v>
      </c>
      <c r="C1284" s="5" t="s">
        <v>2524</v>
      </c>
      <c r="D1284" s="2" t="s">
        <v>2525</v>
      </c>
    </row>
    <row r="1285" spans="1:4" ht="13.05" customHeight="1" x14ac:dyDescent="0.3">
      <c r="A1285" s="2" t="s">
        <v>237</v>
      </c>
      <c r="B1285" s="2" t="s">
        <v>1033</v>
      </c>
      <c r="C1285" s="5" t="s">
        <v>2526</v>
      </c>
      <c r="D1285" s="2" t="s">
        <v>2527</v>
      </c>
    </row>
    <row r="1286" spans="1:4" ht="13.05" customHeight="1" x14ac:dyDescent="0.3">
      <c r="A1286" s="2" t="s">
        <v>237</v>
      </c>
      <c r="B1286" s="2" t="s">
        <v>1033</v>
      </c>
      <c r="C1286" s="5" t="s">
        <v>2528</v>
      </c>
      <c r="D1286" s="2" t="s">
        <v>2529</v>
      </c>
    </row>
    <row r="1287" spans="1:4" ht="13.05" customHeight="1" x14ac:dyDescent="0.3">
      <c r="A1287" s="2" t="s">
        <v>237</v>
      </c>
      <c r="B1287" s="2" t="s">
        <v>1033</v>
      </c>
      <c r="C1287" s="5" t="s">
        <v>2530</v>
      </c>
      <c r="D1287" s="2" t="s">
        <v>2531</v>
      </c>
    </row>
    <row r="1288" spans="1:4" ht="13.05" customHeight="1" x14ac:dyDescent="0.3">
      <c r="A1288" s="2" t="s">
        <v>237</v>
      </c>
      <c r="B1288" s="2" t="s">
        <v>1033</v>
      </c>
      <c r="C1288" s="5" t="s">
        <v>2532</v>
      </c>
      <c r="D1288" s="2" t="s">
        <v>2533</v>
      </c>
    </row>
    <row r="1289" spans="1:4" ht="13.05" customHeight="1" x14ac:dyDescent="0.3">
      <c r="A1289" s="2" t="s">
        <v>237</v>
      </c>
      <c r="B1289" s="2" t="s">
        <v>1033</v>
      </c>
      <c r="C1289" s="5" t="s">
        <v>2534</v>
      </c>
      <c r="D1289" s="2" t="s">
        <v>2535</v>
      </c>
    </row>
    <row r="1290" spans="1:4" ht="13.05" customHeight="1" x14ac:dyDescent="0.3">
      <c r="A1290" s="2" t="s">
        <v>237</v>
      </c>
      <c r="B1290" s="2" t="s">
        <v>1033</v>
      </c>
      <c r="C1290" s="5" t="s">
        <v>2536</v>
      </c>
      <c r="D1290" s="2" t="s">
        <v>2537</v>
      </c>
    </row>
    <row r="1291" spans="1:4" ht="13.05" customHeight="1" x14ac:dyDescent="0.3">
      <c r="A1291" s="2" t="s">
        <v>237</v>
      </c>
      <c r="B1291" s="2" t="s">
        <v>1033</v>
      </c>
      <c r="C1291" s="5" t="s">
        <v>2538</v>
      </c>
      <c r="D1291" s="2" t="s">
        <v>2539</v>
      </c>
    </row>
    <row r="1292" spans="1:4" ht="13.05" customHeight="1" x14ac:dyDescent="0.3">
      <c r="A1292" s="2" t="s">
        <v>237</v>
      </c>
      <c r="B1292" s="2" t="s">
        <v>1033</v>
      </c>
      <c r="C1292" s="5" t="s">
        <v>2540</v>
      </c>
      <c r="D1292" s="2" t="s">
        <v>2541</v>
      </c>
    </row>
    <row r="1293" spans="1:4" ht="13.05" customHeight="1" x14ac:dyDescent="0.3">
      <c r="A1293" s="2" t="s">
        <v>237</v>
      </c>
      <c r="B1293" s="2" t="s">
        <v>1033</v>
      </c>
      <c r="C1293" s="5" t="s">
        <v>2542</v>
      </c>
      <c r="D1293" s="2" t="s">
        <v>2543</v>
      </c>
    </row>
    <row r="1294" spans="1:4" ht="13.05" customHeight="1" x14ac:dyDescent="0.3">
      <c r="A1294" s="2" t="s">
        <v>237</v>
      </c>
      <c r="B1294" s="2" t="s">
        <v>1033</v>
      </c>
      <c r="C1294" s="5" t="s">
        <v>2544</v>
      </c>
      <c r="D1294" s="2" t="s">
        <v>2545</v>
      </c>
    </row>
    <row r="1295" spans="1:4" ht="13.05" customHeight="1" x14ac:dyDescent="0.3">
      <c r="A1295" s="2" t="s">
        <v>237</v>
      </c>
      <c r="B1295" s="2" t="s">
        <v>1033</v>
      </c>
      <c r="C1295" s="5" t="s">
        <v>2546</v>
      </c>
      <c r="D1295" s="2" t="s">
        <v>2547</v>
      </c>
    </row>
    <row r="1296" spans="1:4" ht="13.05" customHeight="1" x14ac:dyDescent="0.3">
      <c r="A1296" s="2" t="s">
        <v>237</v>
      </c>
      <c r="B1296" s="2" t="s">
        <v>1033</v>
      </c>
      <c r="C1296" s="5" t="s">
        <v>2548</v>
      </c>
      <c r="D1296" s="2" t="s">
        <v>2549</v>
      </c>
    </row>
    <row r="1297" spans="1:4" ht="13.05" customHeight="1" x14ac:dyDescent="0.3">
      <c r="A1297" s="2" t="s">
        <v>237</v>
      </c>
      <c r="B1297" s="2" t="s">
        <v>1033</v>
      </c>
      <c r="C1297" s="5" t="s">
        <v>2550</v>
      </c>
      <c r="D1297" s="2" t="s">
        <v>2551</v>
      </c>
    </row>
    <row r="1298" spans="1:4" ht="13.05" customHeight="1" x14ac:dyDescent="0.3">
      <c r="A1298" s="2" t="s">
        <v>237</v>
      </c>
      <c r="B1298" s="2" t="s">
        <v>1033</v>
      </c>
      <c r="C1298" s="5" t="s">
        <v>2552</v>
      </c>
      <c r="D1298" s="2" t="s">
        <v>2553</v>
      </c>
    </row>
    <row r="1299" spans="1:4" ht="13.05" customHeight="1" x14ac:dyDescent="0.3">
      <c r="A1299" s="2" t="s">
        <v>237</v>
      </c>
      <c r="B1299" s="2" t="s">
        <v>1033</v>
      </c>
      <c r="C1299" s="5" t="s">
        <v>2554</v>
      </c>
      <c r="D1299" s="2" t="s">
        <v>2555</v>
      </c>
    </row>
    <row r="1300" spans="1:4" ht="13.05" customHeight="1" x14ac:dyDescent="0.3">
      <c r="A1300" s="2" t="s">
        <v>237</v>
      </c>
      <c r="B1300" s="2" t="s">
        <v>1033</v>
      </c>
      <c r="C1300" s="5" t="s">
        <v>2556</v>
      </c>
      <c r="D1300" s="2" t="s">
        <v>2557</v>
      </c>
    </row>
    <row r="1301" spans="1:4" ht="13.05" customHeight="1" x14ac:dyDescent="0.3">
      <c r="A1301" s="2" t="s">
        <v>237</v>
      </c>
      <c r="B1301" s="2" t="s">
        <v>1033</v>
      </c>
      <c r="C1301" s="5" t="s">
        <v>2558</v>
      </c>
      <c r="D1301" s="2" t="s">
        <v>2559</v>
      </c>
    </row>
    <row r="1302" spans="1:4" ht="13.05" customHeight="1" x14ac:dyDescent="0.3">
      <c r="A1302" s="2" t="s">
        <v>237</v>
      </c>
      <c r="B1302" s="2" t="s">
        <v>1033</v>
      </c>
      <c r="C1302" s="5" t="s">
        <v>2560</v>
      </c>
      <c r="D1302" s="2" t="s">
        <v>2561</v>
      </c>
    </row>
    <row r="1303" spans="1:4" ht="13.05" customHeight="1" x14ac:dyDescent="0.3">
      <c r="A1303" s="2" t="s">
        <v>237</v>
      </c>
      <c r="B1303" s="2" t="s">
        <v>1033</v>
      </c>
      <c r="C1303" s="5" t="s">
        <v>2562</v>
      </c>
      <c r="D1303" s="2" t="s">
        <v>2563</v>
      </c>
    </row>
    <row r="1304" spans="1:4" ht="13.05" customHeight="1" x14ac:dyDescent="0.3">
      <c r="A1304" s="2" t="s">
        <v>237</v>
      </c>
      <c r="B1304" s="2" t="s">
        <v>1033</v>
      </c>
      <c r="C1304" s="5" t="s">
        <v>2564</v>
      </c>
      <c r="D1304" s="2" t="s">
        <v>2565</v>
      </c>
    </row>
    <row r="1305" spans="1:4" ht="13.05" customHeight="1" x14ac:dyDescent="0.3">
      <c r="A1305" s="2" t="s">
        <v>237</v>
      </c>
      <c r="B1305" s="2" t="s">
        <v>1033</v>
      </c>
      <c r="C1305" s="5" t="s">
        <v>2566</v>
      </c>
      <c r="D1305" s="2" t="s">
        <v>2567</v>
      </c>
    </row>
    <row r="1306" spans="1:4" ht="13.05" customHeight="1" x14ac:dyDescent="0.3">
      <c r="A1306" s="2" t="s">
        <v>237</v>
      </c>
      <c r="B1306" s="2" t="s">
        <v>1033</v>
      </c>
      <c r="C1306" s="5" t="s">
        <v>2568</v>
      </c>
      <c r="D1306" s="2" t="s">
        <v>2569</v>
      </c>
    </row>
    <row r="1307" spans="1:4" ht="13.05" customHeight="1" x14ac:dyDescent="0.3">
      <c r="A1307" s="2" t="s">
        <v>237</v>
      </c>
      <c r="B1307" s="2" t="s">
        <v>1033</v>
      </c>
      <c r="C1307" s="5" t="s">
        <v>2570</v>
      </c>
      <c r="D1307" s="2" t="s">
        <v>2571</v>
      </c>
    </row>
    <row r="1308" spans="1:4" ht="13.05" customHeight="1" x14ac:dyDescent="0.3">
      <c r="A1308" s="2" t="s">
        <v>237</v>
      </c>
      <c r="B1308" s="2" t="s">
        <v>1033</v>
      </c>
      <c r="C1308" s="5" t="s">
        <v>2572</v>
      </c>
      <c r="D1308" s="2" t="s">
        <v>2573</v>
      </c>
    </row>
    <row r="1309" spans="1:4" ht="13.05" customHeight="1" x14ac:dyDescent="0.3">
      <c r="A1309" s="2" t="s">
        <v>237</v>
      </c>
      <c r="B1309" s="2" t="s">
        <v>1033</v>
      </c>
      <c r="C1309" s="5" t="s">
        <v>2574</v>
      </c>
      <c r="D1309" s="2" t="s">
        <v>2575</v>
      </c>
    </row>
    <row r="1310" spans="1:4" ht="13.05" customHeight="1" x14ac:dyDescent="0.3">
      <c r="A1310" s="2" t="s">
        <v>237</v>
      </c>
      <c r="B1310" s="2" t="s">
        <v>1033</v>
      </c>
      <c r="C1310" s="5" t="s">
        <v>2576</v>
      </c>
      <c r="D1310" s="2" t="s">
        <v>2577</v>
      </c>
    </row>
    <row r="1311" spans="1:4" ht="13.05" customHeight="1" x14ac:dyDescent="0.3">
      <c r="A1311" s="2" t="s">
        <v>237</v>
      </c>
      <c r="B1311" s="2" t="s">
        <v>1033</v>
      </c>
      <c r="C1311" s="5" t="s">
        <v>2578</v>
      </c>
      <c r="D1311" s="2" t="s">
        <v>2579</v>
      </c>
    </row>
    <row r="1312" spans="1:4" ht="13.05" customHeight="1" x14ac:dyDescent="0.3">
      <c r="A1312" s="2" t="s">
        <v>237</v>
      </c>
      <c r="B1312" s="2" t="s">
        <v>1033</v>
      </c>
      <c r="C1312" s="5" t="s">
        <v>2580</v>
      </c>
      <c r="D1312" s="2" t="s">
        <v>2581</v>
      </c>
    </row>
    <row r="1313" spans="1:4" ht="13.05" customHeight="1" x14ac:dyDescent="0.3">
      <c r="A1313" s="2" t="s">
        <v>237</v>
      </c>
      <c r="B1313" s="2" t="s">
        <v>1033</v>
      </c>
      <c r="C1313" s="5" t="s">
        <v>2582</v>
      </c>
      <c r="D1313" s="2" t="s">
        <v>2583</v>
      </c>
    </row>
    <row r="1314" spans="1:4" ht="13.05" customHeight="1" x14ac:dyDescent="0.3">
      <c r="A1314" s="2" t="s">
        <v>237</v>
      </c>
      <c r="B1314" s="2" t="s">
        <v>1033</v>
      </c>
      <c r="C1314" s="5" t="s">
        <v>2584</v>
      </c>
      <c r="D1314" s="2" t="s">
        <v>2585</v>
      </c>
    </row>
    <row r="1315" spans="1:4" ht="13.05" customHeight="1" x14ac:dyDescent="0.3">
      <c r="A1315" s="2" t="s">
        <v>237</v>
      </c>
      <c r="B1315" s="2" t="s">
        <v>1033</v>
      </c>
      <c r="C1315" s="5" t="s">
        <v>2586</v>
      </c>
      <c r="D1315" s="2" t="s">
        <v>2587</v>
      </c>
    </row>
    <row r="1316" spans="1:4" ht="13.05" customHeight="1" x14ac:dyDescent="0.3">
      <c r="A1316" s="2" t="s">
        <v>237</v>
      </c>
      <c r="B1316" s="2" t="s">
        <v>1033</v>
      </c>
      <c r="C1316" s="5" t="s">
        <v>2588</v>
      </c>
      <c r="D1316" s="2" t="s">
        <v>2589</v>
      </c>
    </row>
    <row r="1317" spans="1:4" ht="13.05" customHeight="1" x14ac:dyDescent="0.3">
      <c r="A1317" s="2" t="s">
        <v>237</v>
      </c>
      <c r="B1317" s="2" t="s">
        <v>1033</v>
      </c>
      <c r="C1317" s="5" t="s">
        <v>2590</v>
      </c>
      <c r="D1317" s="2" t="s">
        <v>2591</v>
      </c>
    </row>
    <row r="1318" spans="1:4" ht="13.05" customHeight="1" x14ac:dyDescent="0.3">
      <c r="A1318" s="2" t="s">
        <v>237</v>
      </c>
      <c r="B1318" s="2" t="s">
        <v>1033</v>
      </c>
      <c r="C1318" s="5" t="s">
        <v>2592</v>
      </c>
      <c r="D1318" s="2" t="s">
        <v>2593</v>
      </c>
    </row>
    <row r="1319" spans="1:4" ht="13.05" customHeight="1" x14ac:dyDescent="0.3">
      <c r="A1319" s="2" t="s">
        <v>237</v>
      </c>
      <c r="B1319" s="2" t="s">
        <v>1033</v>
      </c>
      <c r="C1319" s="5" t="s">
        <v>2594</v>
      </c>
      <c r="D1319" s="2" t="s">
        <v>2595</v>
      </c>
    </row>
    <row r="1320" spans="1:4" ht="13.05" customHeight="1" x14ac:dyDescent="0.3">
      <c r="A1320" s="2" t="s">
        <v>237</v>
      </c>
      <c r="B1320" s="2" t="s">
        <v>1033</v>
      </c>
      <c r="C1320" s="5" t="s">
        <v>2596</v>
      </c>
      <c r="D1320" s="2" t="s">
        <v>2597</v>
      </c>
    </row>
    <row r="1321" spans="1:4" ht="13.05" customHeight="1" x14ac:dyDescent="0.3">
      <c r="A1321" s="2" t="s">
        <v>237</v>
      </c>
      <c r="B1321" s="2" t="s">
        <v>1033</v>
      </c>
      <c r="C1321" s="5" t="s">
        <v>2598</v>
      </c>
      <c r="D1321" s="2" t="s">
        <v>2599</v>
      </c>
    </row>
    <row r="1322" spans="1:4" ht="13.05" customHeight="1" x14ac:dyDescent="0.3">
      <c r="A1322" s="2" t="s">
        <v>237</v>
      </c>
      <c r="B1322" s="2" t="s">
        <v>1033</v>
      </c>
      <c r="C1322" s="5" t="s">
        <v>2600</v>
      </c>
      <c r="D1322" s="2" t="s">
        <v>2601</v>
      </c>
    </row>
    <row r="1323" spans="1:4" ht="13.05" customHeight="1" x14ac:dyDescent="0.3">
      <c r="A1323" s="2" t="s">
        <v>237</v>
      </c>
      <c r="B1323" s="2" t="s">
        <v>1033</v>
      </c>
      <c r="C1323" s="5" t="s">
        <v>2602</v>
      </c>
      <c r="D1323" s="2" t="s">
        <v>2603</v>
      </c>
    </row>
    <row r="1324" spans="1:4" ht="13.05" customHeight="1" x14ac:dyDescent="0.3">
      <c r="A1324" s="2" t="s">
        <v>237</v>
      </c>
      <c r="B1324" s="2" t="s">
        <v>1033</v>
      </c>
      <c r="C1324" s="5" t="s">
        <v>2604</v>
      </c>
      <c r="D1324" s="2" t="s">
        <v>2605</v>
      </c>
    </row>
    <row r="1325" spans="1:4" ht="13.05" customHeight="1" x14ac:dyDescent="0.3">
      <c r="A1325" s="2" t="s">
        <v>237</v>
      </c>
      <c r="B1325" s="2" t="s">
        <v>1033</v>
      </c>
      <c r="C1325" s="5" t="s">
        <v>2606</v>
      </c>
      <c r="D1325" s="2" t="s">
        <v>2607</v>
      </c>
    </row>
    <row r="1326" spans="1:4" ht="13.05" customHeight="1" x14ac:dyDescent="0.3">
      <c r="A1326" s="2" t="s">
        <v>237</v>
      </c>
      <c r="B1326" s="2" t="s">
        <v>1033</v>
      </c>
      <c r="C1326" s="5" t="s">
        <v>2608</v>
      </c>
      <c r="D1326" s="2" t="s">
        <v>2609</v>
      </c>
    </row>
    <row r="1327" spans="1:4" ht="13.05" customHeight="1" x14ac:dyDescent="0.3">
      <c r="A1327" s="2" t="s">
        <v>237</v>
      </c>
      <c r="B1327" s="2" t="s">
        <v>1033</v>
      </c>
      <c r="C1327" s="5" t="s">
        <v>2610</v>
      </c>
      <c r="D1327" s="2" t="s">
        <v>2611</v>
      </c>
    </row>
    <row r="1328" spans="1:4" ht="13.05" customHeight="1" x14ac:dyDescent="0.3">
      <c r="A1328" s="2" t="s">
        <v>237</v>
      </c>
      <c r="B1328" s="2" t="s">
        <v>1033</v>
      </c>
      <c r="C1328" s="5" t="s">
        <v>2612</v>
      </c>
      <c r="D1328" s="2" t="s">
        <v>2613</v>
      </c>
    </row>
    <row r="1329" spans="1:4" ht="13.05" customHeight="1" x14ac:dyDescent="0.3">
      <c r="A1329" s="2" t="s">
        <v>237</v>
      </c>
      <c r="B1329" s="2" t="s">
        <v>1033</v>
      </c>
      <c r="C1329" s="5" t="s">
        <v>2614</v>
      </c>
      <c r="D1329" s="2" t="s">
        <v>2615</v>
      </c>
    </row>
    <row r="1330" spans="1:4" ht="13.05" customHeight="1" x14ac:dyDescent="0.3">
      <c r="A1330" s="2" t="s">
        <v>237</v>
      </c>
      <c r="B1330" s="2" t="s">
        <v>1033</v>
      </c>
      <c r="C1330" s="5" t="s">
        <v>2616</v>
      </c>
      <c r="D1330" s="2" t="s">
        <v>2617</v>
      </c>
    </row>
    <row r="1331" spans="1:4" ht="13.05" customHeight="1" x14ac:dyDescent="0.3">
      <c r="A1331" s="2" t="s">
        <v>237</v>
      </c>
      <c r="B1331" s="2" t="s">
        <v>1033</v>
      </c>
      <c r="C1331" s="5" t="s">
        <v>2618</v>
      </c>
      <c r="D1331" s="2" t="s">
        <v>2619</v>
      </c>
    </row>
    <row r="1332" spans="1:4" ht="13.05" customHeight="1" x14ac:dyDescent="0.3">
      <c r="A1332" s="2" t="s">
        <v>237</v>
      </c>
      <c r="B1332" s="2" t="s">
        <v>1033</v>
      </c>
      <c r="C1332" s="5" t="s">
        <v>2620</v>
      </c>
      <c r="D1332" s="2" t="s">
        <v>2621</v>
      </c>
    </row>
    <row r="1333" spans="1:4" ht="13.05" customHeight="1" x14ac:dyDescent="0.3">
      <c r="A1333" s="2" t="s">
        <v>237</v>
      </c>
      <c r="B1333" s="2" t="s">
        <v>1033</v>
      </c>
      <c r="C1333" s="5" t="s">
        <v>2622</v>
      </c>
      <c r="D1333" s="2" t="s">
        <v>2623</v>
      </c>
    </row>
    <row r="1334" spans="1:4" ht="13.05" customHeight="1" x14ac:dyDescent="0.3">
      <c r="A1334" s="2" t="s">
        <v>237</v>
      </c>
      <c r="B1334" s="2" t="s">
        <v>1033</v>
      </c>
      <c r="C1334" s="5" t="s">
        <v>2624</v>
      </c>
      <c r="D1334" s="2" t="s">
        <v>2625</v>
      </c>
    </row>
    <row r="1335" spans="1:4" ht="13.05" customHeight="1" x14ac:dyDescent="0.3">
      <c r="A1335" s="2" t="s">
        <v>237</v>
      </c>
      <c r="B1335" s="2" t="s">
        <v>1033</v>
      </c>
      <c r="C1335" s="5" t="s">
        <v>2626</v>
      </c>
      <c r="D1335" s="2" t="s">
        <v>2627</v>
      </c>
    </row>
    <row r="1336" spans="1:4" ht="13.05" customHeight="1" x14ac:dyDescent="0.3">
      <c r="A1336" s="2" t="s">
        <v>237</v>
      </c>
      <c r="B1336" s="2" t="s">
        <v>1033</v>
      </c>
      <c r="C1336" s="5" t="s">
        <v>2628</v>
      </c>
      <c r="D1336" s="2" t="s">
        <v>2629</v>
      </c>
    </row>
    <row r="1337" spans="1:4" ht="13.05" customHeight="1" x14ac:dyDescent="0.3">
      <c r="A1337" s="2" t="s">
        <v>237</v>
      </c>
      <c r="B1337" s="2" t="s">
        <v>1033</v>
      </c>
      <c r="C1337" s="5" t="s">
        <v>2630</v>
      </c>
      <c r="D1337" s="2" t="s">
        <v>2631</v>
      </c>
    </row>
    <row r="1338" spans="1:4" ht="13.05" customHeight="1" x14ac:dyDescent="0.3">
      <c r="A1338" s="2" t="s">
        <v>237</v>
      </c>
      <c r="B1338" s="2" t="s">
        <v>1033</v>
      </c>
      <c r="C1338" s="5" t="s">
        <v>2632</v>
      </c>
      <c r="D1338" s="2" t="s">
        <v>2633</v>
      </c>
    </row>
    <row r="1339" spans="1:4" ht="13.05" customHeight="1" x14ac:dyDescent="0.3">
      <c r="A1339" s="2" t="s">
        <v>237</v>
      </c>
      <c r="B1339" s="2" t="s">
        <v>1033</v>
      </c>
      <c r="C1339" s="5" t="s">
        <v>2634</v>
      </c>
      <c r="D1339" s="2" t="s">
        <v>2635</v>
      </c>
    </row>
    <row r="1340" spans="1:4" ht="13.05" customHeight="1" x14ac:dyDescent="0.3">
      <c r="A1340" s="2" t="s">
        <v>237</v>
      </c>
      <c r="B1340" s="2" t="s">
        <v>1033</v>
      </c>
      <c r="C1340" s="5" t="s">
        <v>2636</v>
      </c>
      <c r="D1340" s="2" t="s">
        <v>2637</v>
      </c>
    </row>
    <row r="1341" spans="1:4" ht="13.05" customHeight="1" x14ac:dyDescent="0.3">
      <c r="A1341" s="2" t="s">
        <v>237</v>
      </c>
      <c r="B1341" s="2" t="s">
        <v>1033</v>
      </c>
      <c r="C1341" s="5" t="s">
        <v>2638</v>
      </c>
      <c r="D1341" s="2" t="s">
        <v>2639</v>
      </c>
    </row>
    <row r="1342" spans="1:4" ht="13.05" customHeight="1" x14ac:dyDescent="0.3">
      <c r="A1342" s="2" t="s">
        <v>237</v>
      </c>
      <c r="B1342" s="2" t="s">
        <v>1033</v>
      </c>
      <c r="C1342" s="5" t="s">
        <v>2640</v>
      </c>
      <c r="D1342" s="2" t="s">
        <v>2641</v>
      </c>
    </row>
    <row r="1343" spans="1:4" ht="13.05" customHeight="1" x14ac:dyDescent="0.3">
      <c r="A1343" s="2" t="s">
        <v>237</v>
      </c>
      <c r="B1343" s="2" t="s">
        <v>1033</v>
      </c>
      <c r="C1343" s="5" t="s">
        <v>2642</v>
      </c>
      <c r="D1343" s="2" t="s">
        <v>2643</v>
      </c>
    </row>
    <row r="1344" spans="1:4" ht="13.05" customHeight="1" x14ac:dyDescent="0.3">
      <c r="A1344" s="2" t="s">
        <v>237</v>
      </c>
      <c r="B1344" s="2" t="s">
        <v>1033</v>
      </c>
      <c r="C1344" s="5" t="s">
        <v>2644</v>
      </c>
      <c r="D1344" s="2" t="s">
        <v>2645</v>
      </c>
    </row>
    <row r="1345" spans="1:4" ht="13.05" customHeight="1" x14ac:dyDescent="0.3">
      <c r="A1345" s="2" t="s">
        <v>237</v>
      </c>
      <c r="B1345" s="2" t="s">
        <v>1033</v>
      </c>
      <c r="C1345" s="5" t="s">
        <v>2646</v>
      </c>
      <c r="D1345" s="2" t="s">
        <v>2647</v>
      </c>
    </row>
    <row r="1346" spans="1:4" ht="13.05" customHeight="1" x14ac:dyDescent="0.3">
      <c r="A1346" s="2" t="s">
        <v>237</v>
      </c>
      <c r="B1346" s="2" t="s">
        <v>1033</v>
      </c>
      <c r="C1346" s="5" t="s">
        <v>2648</v>
      </c>
      <c r="D1346" s="2" t="s">
        <v>2649</v>
      </c>
    </row>
    <row r="1347" spans="1:4" ht="13.05" customHeight="1" x14ac:dyDescent="0.3">
      <c r="A1347" s="2" t="s">
        <v>237</v>
      </c>
      <c r="B1347" s="2" t="s">
        <v>1033</v>
      </c>
      <c r="C1347" s="5" t="s">
        <v>2650</v>
      </c>
      <c r="D1347" s="2" t="s">
        <v>2651</v>
      </c>
    </row>
    <row r="1348" spans="1:4" ht="13.05" customHeight="1" x14ac:dyDescent="0.3">
      <c r="A1348" s="2" t="s">
        <v>237</v>
      </c>
      <c r="B1348" s="2" t="s">
        <v>1033</v>
      </c>
      <c r="C1348" s="5" t="s">
        <v>2652</v>
      </c>
      <c r="D1348" s="2" t="s">
        <v>2653</v>
      </c>
    </row>
    <row r="1349" spans="1:4" ht="13.05" customHeight="1" x14ac:dyDescent="0.3">
      <c r="A1349" s="2" t="s">
        <v>237</v>
      </c>
      <c r="B1349" s="2" t="s">
        <v>1033</v>
      </c>
      <c r="C1349" s="5" t="s">
        <v>2654</v>
      </c>
      <c r="D1349" s="2" t="s">
        <v>2655</v>
      </c>
    </row>
    <row r="1350" spans="1:4" ht="13.05" customHeight="1" x14ac:dyDescent="0.3">
      <c r="A1350" s="2" t="s">
        <v>237</v>
      </c>
      <c r="B1350" s="2" t="s">
        <v>1033</v>
      </c>
      <c r="C1350" s="5" t="s">
        <v>2656</v>
      </c>
      <c r="D1350" s="2" t="s">
        <v>2657</v>
      </c>
    </row>
    <row r="1351" spans="1:4" ht="13.05" customHeight="1" x14ac:dyDescent="0.3">
      <c r="A1351" s="2" t="s">
        <v>237</v>
      </c>
      <c r="B1351" s="2" t="s">
        <v>1033</v>
      </c>
      <c r="C1351" s="5" t="s">
        <v>2658</v>
      </c>
      <c r="D1351" s="2" t="s">
        <v>2659</v>
      </c>
    </row>
    <row r="1352" spans="1:4" ht="13.05" customHeight="1" x14ac:dyDescent="0.3">
      <c r="A1352" s="2" t="s">
        <v>237</v>
      </c>
      <c r="B1352" s="2" t="s">
        <v>1033</v>
      </c>
      <c r="C1352" s="5" t="s">
        <v>2660</v>
      </c>
      <c r="D1352" s="2" t="s">
        <v>2661</v>
      </c>
    </row>
    <row r="1353" spans="1:4" ht="13.05" customHeight="1" x14ac:dyDescent="0.3">
      <c r="A1353" s="2" t="s">
        <v>237</v>
      </c>
      <c r="B1353" s="2" t="s">
        <v>1033</v>
      </c>
      <c r="C1353" s="5" t="s">
        <v>2662</v>
      </c>
      <c r="D1353" s="2" t="s">
        <v>2663</v>
      </c>
    </row>
    <row r="1354" spans="1:4" ht="13.05" customHeight="1" x14ac:dyDescent="0.3">
      <c r="A1354" s="2" t="s">
        <v>237</v>
      </c>
      <c r="B1354" s="2" t="s">
        <v>1033</v>
      </c>
      <c r="C1354" s="5" t="s">
        <v>2664</v>
      </c>
      <c r="D1354" s="2" t="s">
        <v>2665</v>
      </c>
    </row>
    <row r="1355" spans="1:4" ht="13.05" customHeight="1" x14ac:dyDescent="0.3">
      <c r="A1355" s="2" t="s">
        <v>237</v>
      </c>
      <c r="B1355" s="2" t="s">
        <v>1033</v>
      </c>
      <c r="C1355" s="5" t="s">
        <v>2666</v>
      </c>
      <c r="D1355" s="2" t="s">
        <v>2667</v>
      </c>
    </row>
    <row r="1356" spans="1:4" ht="13.05" customHeight="1" x14ac:dyDescent="0.3">
      <c r="A1356" s="2" t="s">
        <v>237</v>
      </c>
      <c r="B1356" s="2" t="s">
        <v>1033</v>
      </c>
      <c r="C1356" s="5" t="s">
        <v>2668</v>
      </c>
      <c r="D1356" s="2" t="s">
        <v>2669</v>
      </c>
    </row>
    <row r="1357" spans="1:4" ht="13.05" customHeight="1" x14ac:dyDescent="0.3">
      <c r="A1357" s="2" t="s">
        <v>237</v>
      </c>
      <c r="B1357" s="2" t="s">
        <v>1033</v>
      </c>
      <c r="C1357" s="5" t="s">
        <v>2670</v>
      </c>
      <c r="D1357" s="2" t="s">
        <v>2671</v>
      </c>
    </row>
    <row r="1358" spans="1:4" ht="13.05" customHeight="1" x14ac:dyDescent="0.3">
      <c r="A1358" s="2" t="s">
        <v>237</v>
      </c>
      <c r="B1358" s="2" t="s">
        <v>1033</v>
      </c>
      <c r="C1358" s="5" t="s">
        <v>2672</v>
      </c>
      <c r="D1358" s="2" t="s">
        <v>2673</v>
      </c>
    </row>
    <row r="1359" spans="1:4" ht="13.05" customHeight="1" x14ac:dyDescent="0.3">
      <c r="A1359" s="2" t="s">
        <v>237</v>
      </c>
      <c r="B1359" s="2" t="s">
        <v>1033</v>
      </c>
      <c r="C1359" s="5" t="s">
        <v>2674</v>
      </c>
      <c r="D1359" s="2" t="s">
        <v>2675</v>
      </c>
    </row>
    <row r="1360" spans="1:4" ht="13.05" customHeight="1" x14ac:dyDescent="0.3">
      <c r="A1360" s="2" t="s">
        <v>237</v>
      </c>
      <c r="B1360" s="2" t="s">
        <v>1033</v>
      </c>
      <c r="C1360" s="5" t="s">
        <v>2676</v>
      </c>
      <c r="D1360" s="2" t="s">
        <v>2677</v>
      </c>
    </row>
    <row r="1361" spans="1:4" ht="13.05" customHeight="1" x14ac:dyDescent="0.3">
      <c r="A1361" s="2" t="s">
        <v>237</v>
      </c>
      <c r="B1361" s="2" t="s">
        <v>1033</v>
      </c>
      <c r="C1361" s="5" t="s">
        <v>2678</v>
      </c>
      <c r="D1361" s="2" t="s">
        <v>2679</v>
      </c>
    </row>
    <row r="1362" spans="1:4" ht="13.05" customHeight="1" x14ac:dyDescent="0.3">
      <c r="A1362" s="2" t="s">
        <v>237</v>
      </c>
      <c r="B1362" s="2" t="s">
        <v>1033</v>
      </c>
      <c r="C1362" s="5" t="s">
        <v>2680</v>
      </c>
      <c r="D1362" s="2" t="s">
        <v>2681</v>
      </c>
    </row>
    <row r="1363" spans="1:4" ht="13.05" customHeight="1" x14ac:dyDescent="0.3">
      <c r="A1363" s="2" t="s">
        <v>237</v>
      </c>
      <c r="B1363" s="2" t="s">
        <v>1033</v>
      </c>
      <c r="C1363" s="5" t="s">
        <v>2682</v>
      </c>
      <c r="D1363" s="2" t="s">
        <v>2683</v>
      </c>
    </row>
    <row r="1364" spans="1:4" ht="13.05" customHeight="1" x14ac:dyDescent="0.3">
      <c r="A1364" s="2" t="s">
        <v>237</v>
      </c>
      <c r="B1364" s="2" t="s">
        <v>1033</v>
      </c>
      <c r="C1364" s="5" t="s">
        <v>2684</v>
      </c>
      <c r="D1364" s="2" t="s">
        <v>2685</v>
      </c>
    </row>
    <row r="1365" spans="1:4" ht="13.05" customHeight="1" x14ac:dyDescent="0.3">
      <c r="A1365" s="2" t="s">
        <v>237</v>
      </c>
      <c r="B1365" s="2" t="s">
        <v>1033</v>
      </c>
      <c r="C1365" s="5" t="s">
        <v>2686</v>
      </c>
      <c r="D1365" s="2" t="s">
        <v>2687</v>
      </c>
    </row>
    <row r="1366" spans="1:4" ht="13.05" customHeight="1" x14ac:dyDescent="0.3">
      <c r="A1366" s="2" t="s">
        <v>237</v>
      </c>
      <c r="B1366" s="2" t="s">
        <v>1033</v>
      </c>
      <c r="C1366" s="5" t="s">
        <v>2688</v>
      </c>
      <c r="D1366" s="2" t="s">
        <v>2689</v>
      </c>
    </row>
    <row r="1367" spans="1:4" ht="13.05" customHeight="1" x14ac:dyDescent="0.3">
      <c r="A1367" s="2" t="s">
        <v>237</v>
      </c>
      <c r="B1367" s="2" t="s">
        <v>1033</v>
      </c>
      <c r="C1367" s="5" t="s">
        <v>2690</v>
      </c>
      <c r="D1367" s="2" t="s">
        <v>2691</v>
      </c>
    </row>
    <row r="1368" spans="1:4" ht="13.05" customHeight="1" x14ac:dyDescent="0.3">
      <c r="A1368" s="2" t="s">
        <v>237</v>
      </c>
      <c r="B1368" s="2" t="s">
        <v>1033</v>
      </c>
      <c r="C1368" s="5" t="s">
        <v>2692</v>
      </c>
      <c r="D1368" s="2" t="s">
        <v>2693</v>
      </c>
    </row>
    <row r="1369" spans="1:4" ht="13.05" customHeight="1" x14ac:dyDescent="0.3">
      <c r="A1369" s="2" t="s">
        <v>237</v>
      </c>
      <c r="B1369" s="2" t="s">
        <v>1033</v>
      </c>
      <c r="C1369" s="5" t="s">
        <v>2694</v>
      </c>
      <c r="D1369" s="2" t="s">
        <v>2695</v>
      </c>
    </row>
    <row r="1370" spans="1:4" ht="13.05" customHeight="1" x14ac:dyDescent="0.3">
      <c r="A1370" s="2" t="s">
        <v>237</v>
      </c>
      <c r="B1370" s="2" t="s">
        <v>1033</v>
      </c>
      <c r="C1370" s="5" t="s">
        <v>2696</v>
      </c>
      <c r="D1370" s="2" t="s">
        <v>2697</v>
      </c>
    </row>
    <row r="1371" spans="1:4" ht="13.05" customHeight="1" x14ac:dyDescent="0.3">
      <c r="A1371" s="2" t="s">
        <v>237</v>
      </c>
      <c r="B1371" s="2" t="s">
        <v>1033</v>
      </c>
      <c r="C1371" s="5" t="s">
        <v>2698</v>
      </c>
      <c r="D1371" s="2" t="s">
        <v>2699</v>
      </c>
    </row>
    <row r="1372" spans="1:4" ht="13.05" customHeight="1" x14ac:dyDescent="0.3">
      <c r="A1372" s="2" t="s">
        <v>237</v>
      </c>
      <c r="B1372" s="2" t="s">
        <v>1033</v>
      </c>
      <c r="C1372" s="5" t="s">
        <v>2700</v>
      </c>
      <c r="D1372" s="2" t="s">
        <v>2701</v>
      </c>
    </row>
    <row r="1373" spans="1:4" ht="13.05" customHeight="1" x14ac:dyDescent="0.3">
      <c r="A1373" s="2" t="s">
        <v>237</v>
      </c>
      <c r="B1373" s="2" t="s">
        <v>1033</v>
      </c>
      <c r="C1373" s="5" t="s">
        <v>2702</v>
      </c>
      <c r="D1373" s="2" t="s">
        <v>2703</v>
      </c>
    </row>
    <row r="1374" spans="1:4" ht="13.05" customHeight="1" x14ac:dyDescent="0.3">
      <c r="A1374" s="2" t="s">
        <v>237</v>
      </c>
      <c r="B1374" s="2" t="s">
        <v>1033</v>
      </c>
      <c r="C1374" s="5" t="s">
        <v>2704</v>
      </c>
      <c r="D1374" s="2" t="s">
        <v>2705</v>
      </c>
    </row>
    <row r="1375" spans="1:4" ht="13.05" customHeight="1" x14ac:dyDescent="0.3">
      <c r="A1375" s="2" t="s">
        <v>237</v>
      </c>
      <c r="B1375" s="2" t="s">
        <v>1033</v>
      </c>
      <c r="C1375" s="5" t="s">
        <v>2706</v>
      </c>
      <c r="D1375" s="2" t="s">
        <v>2707</v>
      </c>
    </row>
    <row r="1376" spans="1:4" ht="13.05" customHeight="1" x14ac:dyDescent="0.3">
      <c r="A1376" s="2" t="s">
        <v>237</v>
      </c>
      <c r="B1376" s="2" t="s">
        <v>1033</v>
      </c>
      <c r="C1376" s="5" t="s">
        <v>2708</v>
      </c>
      <c r="D1376" s="2" t="s">
        <v>2709</v>
      </c>
    </row>
    <row r="1377" spans="1:4" ht="13.05" customHeight="1" x14ac:dyDescent="0.3">
      <c r="A1377" s="2" t="s">
        <v>237</v>
      </c>
      <c r="B1377" s="2" t="s">
        <v>1033</v>
      </c>
      <c r="C1377" s="5" t="s">
        <v>2710</v>
      </c>
      <c r="D1377" s="2" t="s">
        <v>2711</v>
      </c>
    </row>
    <row r="1378" spans="1:4" ht="13.05" customHeight="1" x14ac:dyDescent="0.3">
      <c r="A1378" s="2" t="s">
        <v>237</v>
      </c>
      <c r="B1378" s="2" t="s">
        <v>1033</v>
      </c>
      <c r="C1378" s="5" t="s">
        <v>2712</v>
      </c>
      <c r="D1378" s="2" t="s">
        <v>2713</v>
      </c>
    </row>
    <row r="1379" spans="1:4" ht="13.05" customHeight="1" x14ac:dyDescent="0.3">
      <c r="A1379" s="2" t="s">
        <v>237</v>
      </c>
      <c r="B1379" s="2" t="s">
        <v>1033</v>
      </c>
      <c r="C1379" s="5" t="s">
        <v>2714</v>
      </c>
      <c r="D1379" s="2" t="s">
        <v>2715</v>
      </c>
    </row>
    <row r="1380" spans="1:4" ht="13.05" customHeight="1" x14ac:dyDescent="0.3">
      <c r="A1380" s="2" t="s">
        <v>237</v>
      </c>
      <c r="B1380" s="2" t="s">
        <v>1033</v>
      </c>
      <c r="C1380" s="5" t="s">
        <v>2716</v>
      </c>
      <c r="D1380" s="2" t="s">
        <v>2717</v>
      </c>
    </row>
    <row r="1381" spans="1:4" ht="13.05" customHeight="1" x14ac:dyDescent="0.3">
      <c r="A1381" s="2" t="s">
        <v>237</v>
      </c>
      <c r="B1381" s="2" t="s">
        <v>1033</v>
      </c>
      <c r="C1381" s="5" t="s">
        <v>2718</v>
      </c>
      <c r="D1381" s="2" t="s">
        <v>2719</v>
      </c>
    </row>
    <row r="1382" spans="1:4" ht="13.05" customHeight="1" x14ac:dyDescent="0.3">
      <c r="A1382" s="2" t="s">
        <v>237</v>
      </c>
      <c r="B1382" s="2" t="s">
        <v>1033</v>
      </c>
      <c r="C1382" s="5" t="s">
        <v>2720</v>
      </c>
      <c r="D1382" s="2" t="s">
        <v>2721</v>
      </c>
    </row>
    <row r="1383" spans="1:4" ht="13.05" customHeight="1" x14ac:dyDescent="0.3">
      <c r="A1383" s="2" t="s">
        <v>237</v>
      </c>
      <c r="B1383" s="2" t="s">
        <v>1033</v>
      </c>
      <c r="C1383" s="5" t="s">
        <v>2722</v>
      </c>
      <c r="D1383" s="2" t="s">
        <v>2723</v>
      </c>
    </row>
    <row r="1384" spans="1:4" ht="13.05" customHeight="1" x14ac:dyDescent="0.3">
      <c r="A1384" s="2" t="s">
        <v>237</v>
      </c>
      <c r="B1384" s="2" t="s">
        <v>1033</v>
      </c>
      <c r="C1384" s="5" t="s">
        <v>2724</v>
      </c>
      <c r="D1384" s="2" t="s">
        <v>2725</v>
      </c>
    </row>
    <row r="1385" spans="1:4" ht="13.05" customHeight="1" x14ac:dyDescent="0.3">
      <c r="A1385" s="2" t="s">
        <v>237</v>
      </c>
      <c r="B1385" s="2" t="s">
        <v>1033</v>
      </c>
      <c r="C1385" s="5" t="s">
        <v>2726</v>
      </c>
      <c r="D1385" s="2" t="s">
        <v>2727</v>
      </c>
    </row>
    <row r="1386" spans="1:4" ht="13.05" customHeight="1" x14ac:dyDescent="0.3">
      <c r="A1386" s="2" t="s">
        <v>237</v>
      </c>
      <c r="B1386" s="2" t="s">
        <v>1033</v>
      </c>
      <c r="C1386" s="5" t="s">
        <v>2728</v>
      </c>
      <c r="D1386" s="2" t="s">
        <v>2729</v>
      </c>
    </row>
    <row r="1387" spans="1:4" ht="13.05" customHeight="1" x14ac:dyDescent="0.3">
      <c r="A1387" s="2" t="s">
        <v>237</v>
      </c>
      <c r="B1387" s="2" t="s">
        <v>1033</v>
      </c>
      <c r="C1387" s="5" t="s">
        <v>2730</v>
      </c>
      <c r="D1387" s="2" t="s">
        <v>2731</v>
      </c>
    </row>
    <row r="1388" spans="1:4" ht="13.05" customHeight="1" x14ac:dyDescent="0.3">
      <c r="A1388" s="2" t="s">
        <v>237</v>
      </c>
      <c r="B1388" s="2" t="s">
        <v>1033</v>
      </c>
      <c r="C1388" s="5" t="s">
        <v>2732</v>
      </c>
      <c r="D1388" s="2" t="s">
        <v>2733</v>
      </c>
    </row>
    <row r="1389" spans="1:4" ht="13.05" customHeight="1" x14ac:dyDescent="0.3">
      <c r="A1389" s="2" t="s">
        <v>237</v>
      </c>
      <c r="B1389" s="2" t="s">
        <v>1033</v>
      </c>
      <c r="C1389" s="5" t="s">
        <v>2734</v>
      </c>
      <c r="D1389" s="2" t="s">
        <v>2735</v>
      </c>
    </row>
    <row r="1390" spans="1:4" ht="13.05" customHeight="1" x14ac:dyDescent="0.3">
      <c r="A1390" s="2" t="s">
        <v>237</v>
      </c>
      <c r="B1390" s="2" t="s">
        <v>1033</v>
      </c>
      <c r="C1390" s="5" t="s">
        <v>2736</v>
      </c>
      <c r="D1390" s="2" t="s">
        <v>2737</v>
      </c>
    </row>
    <row r="1391" spans="1:4" ht="13.05" customHeight="1" x14ac:dyDescent="0.3">
      <c r="A1391" s="2" t="s">
        <v>237</v>
      </c>
      <c r="B1391" s="2" t="s">
        <v>1033</v>
      </c>
      <c r="C1391" s="5" t="s">
        <v>2738</v>
      </c>
      <c r="D1391" s="2" t="s">
        <v>2739</v>
      </c>
    </row>
    <row r="1392" spans="1:4" ht="13.05" customHeight="1" x14ac:dyDescent="0.3">
      <c r="A1392" s="2" t="s">
        <v>237</v>
      </c>
      <c r="B1392" s="2" t="s">
        <v>1033</v>
      </c>
      <c r="C1392" s="5" t="s">
        <v>2740</v>
      </c>
      <c r="D1392" s="2" t="s">
        <v>2741</v>
      </c>
    </row>
    <row r="1393" spans="1:4" ht="13.05" customHeight="1" x14ac:dyDescent="0.3">
      <c r="A1393" s="2" t="s">
        <v>237</v>
      </c>
      <c r="B1393" s="2" t="s">
        <v>1033</v>
      </c>
      <c r="C1393" s="5" t="s">
        <v>2742</v>
      </c>
      <c r="D1393" s="2" t="s">
        <v>2743</v>
      </c>
    </row>
    <row r="1394" spans="1:4" ht="13.05" customHeight="1" x14ac:dyDescent="0.3">
      <c r="A1394" s="2" t="s">
        <v>237</v>
      </c>
      <c r="B1394" s="2" t="s">
        <v>1033</v>
      </c>
      <c r="C1394" s="5" t="s">
        <v>2744</v>
      </c>
      <c r="D1394" s="2" t="s">
        <v>2745</v>
      </c>
    </row>
    <row r="1395" spans="1:4" ht="13.05" customHeight="1" x14ac:dyDescent="0.3">
      <c r="A1395" s="2" t="s">
        <v>237</v>
      </c>
      <c r="B1395" s="2" t="s">
        <v>1033</v>
      </c>
      <c r="C1395" s="5" t="s">
        <v>2746</v>
      </c>
      <c r="D1395" s="2" t="s">
        <v>2747</v>
      </c>
    </row>
    <row r="1396" spans="1:4" ht="13.05" customHeight="1" x14ac:dyDescent="0.3">
      <c r="A1396" s="2" t="s">
        <v>237</v>
      </c>
      <c r="B1396" s="2" t="s">
        <v>1033</v>
      </c>
      <c r="C1396" s="5" t="s">
        <v>2748</v>
      </c>
      <c r="D1396" s="2" t="s">
        <v>2749</v>
      </c>
    </row>
    <row r="1397" spans="1:4" ht="13.05" customHeight="1" x14ac:dyDescent="0.3">
      <c r="A1397" s="2" t="s">
        <v>237</v>
      </c>
      <c r="B1397" s="2" t="s">
        <v>1033</v>
      </c>
      <c r="C1397" s="5" t="s">
        <v>2750</v>
      </c>
      <c r="D1397" s="2" t="s">
        <v>2751</v>
      </c>
    </row>
    <row r="1398" spans="1:4" ht="13.05" customHeight="1" x14ac:dyDescent="0.3">
      <c r="A1398" s="2" t="s">
        <v>237</v>
      </c>
      <c r="B1398" s="2" t="s">
        <v>1033</v>
      </c>
      <c r="C1398" s="5" t="s">
        <v>2752</v>
      </c>
      <c r="D1398" s="2" t="s">
        <v>2753</v>
      </c>
    </row>
    <row r="1399" spans="1:4" ht="13.05" customHeight="1" x14ac:dyDescent="0.3">
      <c r="A1399" s="2" t="s">
        <v>237</v>
      </c>
      <c r="B1399" s="2" t="s">
        <v>1033</v>
      </c>
      <c r="C1399" s="5" t="s">
        <v>2754</v>
      </c>
      <c r="D1399" s="2" t="s">
        <v>2755</v>
      </c>
    </row>
    <row r="1400" spans="1:4" ht="13.05" customHeight="1" x14ac:dyDescent="0.3">
      <c r="A1400" s="2" t="s">
        <v>237</v>
      </c>
      <c r="B1400" s="2" t="s">
        <v>1033</v>
      </c>
      <c r="C1400" s="5" t="s">
        <v>2756</v>
      </c>
      <c r="D1400" s="2" t="s">
        <v>2757</v>
      </c>
    </row>
    <row r="1401" spans="1:4" ht="13.05" customHeight="1" x14ac:dyDescent="0.3">
      <c r="A1401" s="2" t="s">
        <v>237</v>
      </c>
      <c r="B1401" s="2" t="s">
        <v>1033</v>
      </c>
      <c r="C1401" s="5" t="s">
        <v>2758</v>
      </c>
      <c r="D1401" s="2" t="s">
        <v>2759</v>
      </c>
    </row>
    <row r="1402" spans="1:4" ht="13.05" customHeight="1" x14ac:dyDescent="0.3">
      <c r="A1402" s="2" t="s">
        <v>237</v>
      </c>
      <c r="B1402" s="2" t="s">
        <v>1033</v>
      </c>
      <c r="C1402" s="5" t="s">
        <v>2760</v>
      </c>
      <c r="D1402" s="2" t="s">
        <v>2761</v>
      </c>
    </row>
    <row r="1403" spans="1:4" ht="13.05" customHeight="1" x14ac:dyDescent="0.3">
      <c r="A1403" s="2" t="s">
        <v>237</v>
      </c>
      <c r="B1403" s="2" t="s">
        <v>1033</v>
      </c>
      <c r="C1403" s="5" t="s">
        <v>2762</v>
      </c>
      <c r="D1403" s="2" t="s">
        <v>2763</v>
      </c>
    </row>
    <row r="1404" spans="1:4" ht="13.05" customHeight="1" x14ac:dyDescent="0.3">
      <c r="A1404" s="2" t="s">
        <v>237</v>
      </c>
      <c r="B1404" s="2" t="s">
        <v>1033</v>
      </c>
      <c r="C1404" s="5" t="s">
        <v>2764</v>
      </c>
      <c r="D1404" s="2" t="s">
        <v>2765</v>
      </c>
    </row>
    <row r="1405" spans="1:4" ht="13.05" customHeight="1" x14ac:dyDescent="0.3">
      <c r="A1405" s="2" t="s">
        <v>237</v>
      </c>
      <c r="B1405" s="2" t="s">
        <v>1033</v>
      </c>
      <c r="C1405" s="5" t="s">
        <v>2766</v>
      </c>
      <c r="D1405" s="2" t="s">
        <v>2767</v>
      </c>
    </row>
    <row r="1406" spans="1:4" ht="13.05" customHeight="1" x14ac:dyDescent="0.3">
      <c r="A1406" s="2" t="s">
        <v>237</v>
      </c>
      <c r="B1406" s="2" t="s">
        <v>1033</v>
      </c>
      <c r="C1406" s="5" t="s">
        <v>2768</v>
      </c>
      <c r="D1406" s="2" t="s">
        <v>2769</v>
      </c>
    </row>
    <row r="1407" spans="1:4" ht="13.05" customHeight="1" x14ac:dyDescent="0.3">
      <c r="A1407" s="2" t="s">
        <v>237</v>
      </c>
      <c r="B1407" s="2" t="s">
        <v>1033</v>
      </c>
      <c r="C1407" s="5" t="s">
        <v>2770</v>
      </c>
      <c r="D1407" s="2" t="s">
        <v>2771</v>
      </c>
    </row>
    <row r="1408" spans="1:4" ht="13.05" customHeight="1" x14ac:dyDescent="0.3">
      <c r="A1408" s="2" t="s">
        <v>237</v>
      </c>
      <c r="B1408" s="2" t="s">
        <v>1033</v>
      </c>
      <c r="C1408" s="5" t="s">
        <v>2772</v>
      </c>
      <c r="D1408" s="2" t="s">
        <v>2773</v>
      </c>
    </row>
    <row r="1409" spans="1:4" ht="13.05" customHeight="1" x14ac:dyDescent="0.3">
      <c r="A1409" s="2" t="s">
        <v>237</v>
      </c>
      <c r="B1409" s="2" t="s">
        <v>1033</v>
      </c>
      <c r="C1409" s="5" t="s">
        <v>2774</v>
      </c>
      <c r="D1409" s="2" t="s">
        <v>2775</v>
      </c>
    </row>
    <row r="1410" spans="1:4" ht="13.05" customHeight="1" x14ac:dyDescent="0.3">
      <c r="A1410" s="2" t="s">
        <v>237</v>
      </c>
      <c r="B1410" s="2" t="s">
        <v>1033</v>
      </c>
      <c r="C1410" s="5" t="s">
        <v>2776</v>
      </c>
      <c r="D1410" s="2" t="s">
        <v>2777</v>
      </c>
    </row>
    <row r="1411" spans="1:4" ht="13.05" customHeight="1" x14ac:dyDescent="0.3">
      <c r="A1411" s="2" t="s">
        <v>237</v>
      </c>
      <c r="B1411" s="2" t="s">
        <v>1033</v>
      </c>
      <c r="C1411" s="5" t="s">
        <v>2778</v>
      </c>
      <c r="D1411" s="2" t="s">
        <v>2779</v>
      </c>
    </row>
    <row r="1412" spans="1:4" ht="13.05" customHeight="1" x14ac:dyDescent="0.3">
      <c r="A1412" s="2" t="s">
        <v>237</v>
      </c>
      <c r="B1412" s="2" t="s">
        <v>1033</v>
      </c>
      <c r="C1412" s="5" t="s">
        <v>2780</v>
      </c>
      <c r="D1412" s="2" t="s">
        <v>2781</v>
      </c>
    </row>
    <row r="1413" spans="1:4" ht="13.05" customHeight="1" x14ac:dyDescent="0.3">
      <c r="A1413" s="2" t="s">
        <v>237</v>
      </c>
      <c r="B1413" s="2" t="s">
        <v>1033</v>
      </c>
      <c r="C1413" s="5" t="s">
        <v>2782</v>
      </c>
      <c r="D1413" s="2" t="s">
        <v>2783</v>
      </c>
    </row>
    <row r="1414" spans="1:4" ht="13.05" customHeight="1" x14ac:dyDescent="0.3">
      <c r="A1414" s="2" t="s">
        <v>237</v>
      </c>
      <c r="B1414" s="2" t="s">
        <v>1033</v>
      </c>
      <c r="C1414" s="5" t="s">
        <v>2784</v>
      </c>
      <c r="D1414" s="2" t="s">
        <v>2785</v>
      </c>
    </row>
    <row r="1415" spans="1:4" ht="13.05" customHeight="1" x14ac:dyDescent="0.3">
      <c r="A1415" s="2" t="s">
        <v>237</v>
      </c>
      <c r="B1415" s="2" t="s">
        <v>1033</v>
      </c>
      <c r="C1415" s="5" t="s">
        <v>2786</v>
      </c>
      <c r="D1415" s="2" t="s">
        <v>2787</v>
      </c>
    </row>
    <row r="1416" spans="1:4" ht="13.05" customHeight="1" x14ac:dyDescent="0.3">
      <c r="A1416" s="2" t="s">
        <v>237</v>
      </c>
      <c r="B1416" s="2" t="s">
        <v>1033</v>
      </c>
      <c r="C1416" s="5" t="s">
        <v>2788</v>
      </c>
      <c r="D1416" s="2" t="s">
        <v>2789</v>
      </c>
    </row>
    <row r="1417" spans="1:4" ht="13.05" customHeight="1" x14ac:dyDescent="0.3">
      <c r="A1417" s="2" t="s">
        <v>237</v>
      </c>
      <c r="B1417" s="2" t="s">
        <v>1033</v>
      </c>
      <c r="C1417" s="5" t="s">
        <v>2790</v>
      </c>
      <c r="D1417" s="2" t="s">
        <v>2791</v>
      </c>
    </row>
    <row r="1418" spans="1:4" ht="13.05" customHeight="1" x14ac:dyDescent="0.3">
      <c r="A1418" s="2" t="s">
        <v>237</v>
      </c>
      <c r="B1418" s="2" t="s">
        <v>1033</v>
      </c>
      <c r="C1418" s="5" t="s">
        <v>2792</v>
      </c>
      <c r="D1418" s="2" t="s">
        <v>2793</v>
      </c>
    </row>
    <row r="1419" spans="1:4" ht="13.05" customHeight="1" x14ac:dyDescent="0.3">
      <c r="A1419" s="2" t="s">
        <v>237</v>
      </c>
      <c r="B1419" s="2" t="s">
        <v>1033</v>
      </c>
      <c r="C1419" s="5" t="s">
        <v>2794</v>
      </c>
      <c r="D1419" s="2" t="s">
        <v>2795</v>
      </c>
    </row>
    <row r="1420" spans="1:4" ht="13.05" customHeight="1" x14ac:dyDescent="0.3">
      <c r="A1420" s="2" t="s">
        <v>237</v>
      </c>
      <c r="B1420" s="2" t="s">
        <v>1033</v>
      </c>
      <c r="C1420" s="5" t="s">
        <v>2796</v>
      </c>
      <c r="D1420" s="2" t="s">
        <v>2797</v>
      </c>
    </row>
    <row r="1421" spans="1:4" ht="13.05" customHeight="1" x14ac:dyDescent="0.3">
      <c r="A1421" s="2" t="s">
        <v>237</v>
      </c>
      <c r="B1421" s="2" t="s">
        <v>1033</v>
      </c>
      <c r="C1421" s="5" t="s">
        <v>2798</v>
      </c>
      <c r="D1421" s="2" t="s">
        <v>2799</v>
      </c>
    </row>
    <row r="1422" spans="1:4" ht="13.05" customHeight="1" x14ac:dyDescent="0.3">
      <c r="A1422" s="2" t="s">
        <v>237</v>
      </c>
      <c r="B1422" s="2" t="s">
        <v>1033</v>
      </c>
      <c r="C1422" s="5" t="s">
        <v>2800</v>
      </c>
      <c r="D1422" s="2" t="s">
        <v>2801</v>
      </c>
    </row>
    <row r="1423" spans="1:4" ht="13.05" customHeight="1" x14ac:dyDescent="0.3">
      <c r="A1423" s="2" t="s">
        <v>237</v>
      </c>
      <c r="B1423" s="2" t="s">
        <v>1033</v>
      </c>
      <c r="C1423" s="5" t="s">
        <v>2802</v>
      </c>
      <c r="D1423" s="2" t="s">
        <v>2803</v>
      </c>
    </row>
    <row r="1424" spans="1:4" ht="13.05" customHeight="1" x14ac:dyDescent="0.3">
      <c r="A1424" s="2" t="s">
        <v>237</v>
      </c>
      <c r="B1424" s="2" t="s">
        <v>1033</v>
      </c>
      <c r="C1424" s="5" t="s">
        <v>2804</v>
      </c>
      <c r="D1424" s="2" t="s">
        <v>2805</v>
      </c>
    </row>
    <row r="1425" spans="1:4" ht="13.05" customHeight="1" x14ac:dyDescent="0.3">
      <c r="A1425" s="2" t="s">
        <v>237</v>
      </c>
      <c r="B1425" s="2" t="s">
        <v>1033</v>
      </c>
      <c r="C1425" s="5" t="s">
        <v>2806</v>
      </c>
      <c r="D1425" s="2" t="s">
        <v>2807</v>
      </c>
    </row>
    <row r="1426" spans="1:4" ht="13.05" customHeight="1" x14ac:dyDescent="0.3">
      <c r="A1426" s="2" t="s">
        <v>237</v>
      </c>
      <c r="B1426" s="2" t="s">
        <v>1033</v>
      </c>
      <c r="C1426" s="5" t="s">
        <v>2808</v>
      </c>
      <c r="D1426" s="2" t="s">
        <v>2809</v>
      </c>
    </row>
    <row r="1427" spans="1:4" ht="13.05" customHeight="1" x14ac:dyDescent="0.3">
      <c r="A1427" s="2" t="s">
        <v>237</v>
      </c>
      <c r="B1427" s="2" t="s">
        <v>1033</v>
      </c>
      <c r="C1427" s="5" t="s">
        <v>2810</v>
      </c>
      <c r="D1427" s="2" t="s">
        <v>2811</v>
      </c>
    </row>
    <row r="1428" spans="1:4" ht="13.05" customHeight="1" x14ac:dyDescent="0.3">
      <c r="A1428" s="2" t="s">
        <v>237</v>
      </c>
      <c r="B1428" s="2" t="s">
        <v>1033</v>
      </c>
      <c r="C1428" s="5" t="s">
        <v>2812</v>
      </c>
      <c r="D1428" s="2" t="s">
        <v>2813</v>
      </c>
    </row>
    <row r="1429" spans="1:4" ht="13.05" customHeight="1" x14ac:dyDescent="0.3">
      <c r="A1429" s="2" t="s">
        <v>237</v>
      </c>
      <c r="B1429" s="2" t="s">
        <v>1033</v>
      </c>
      <c r="C1429" s="5" t="s">
        <v>2814</v>
      </c>
      <c r="D1429" s="2" t="s">
        <v>2815</v>
      </c>
    </row>
    <row r="1430" spans="1:4" ht="13.05" customHeight="1" x14ac:dyDescent="0.3">
      <c r="A1430" s="2" t="s">
        <v>237</v>
      </c>
      <c r="B1430" s="2" t="s">
        <v>1033</v>
      </c>
      <c r="C1430" s="5" t="s">
        <v>2816</v>
      </c>
      <c r="D1430" s="2" t="s">
        <v>2817</v>
      </c>
    </row>
    <row r="1431" spans="1:4" ht="13.05" customHeight="1" x14ac:dyDescent="0.3">
      <c r="A1431" s="2" t="s">
        <v>237</v>
      </c>
      <c r="B1431" s="2" t="s">
        <v>1033</v>
      </c>
      <c r="C1431" s="5" t="s">
        <v>2818</v>
      </c>
      <c r="D1431" s="2" t="s">
        <v>2819</v>
      </c>
    </row>
    <row r="1432" spans="1:4" ht="13.05" customHeight="1" x14ac:dyDescent="0.3">
      <c r="A1432" s="2" t="s">
        <v>237</v>
      </c>
      <c r="B1432" s="2" t="s">
        <v>1033</v>
      </c>
      <c r="C1432" s="5" t="s">
        <v>2820</v>
      </c>
      <c r="D1432" s="2" t="s">
        <v>2821</v>
      </c>
    </row>
    <row r="1433" spans="1:4" ht="13.05" customHeight="1" x14ac:dyDescent="0.3">
      <c r="A1433" s="2" t="s">
        <v>237</v>
      </c>
      <c r="B1433" s="2" t="s">
        <v>1033</v>
      </c>
      <c r="C1433" s="5" t="s">
        <v>2822</v>
      </c>
      <c r="D1433" s="2" t="s">
        <v>2823</v>
      </c>
    </row>
    <row r="1434" spans="1:4" ht="13.05" customHeight="1" x14ac:dyDescent="0.3">
      <c r="A1434" s="2" t="s">
        <v>237</v>
      </c>
      <c r="B1434" s="2" t="s">
        <v>1033</v>
      </c>
      <c r="C1434" s="5" t="s">
        <v>2824</v>
      </c>
      <c r="D1434" s="2" t="s">
        <v>2825</v>
      </c>
    </row>
    <row r="1435" spans="1:4" ht="13.05" customHeight="1" x14ac:dyDescent="0.3">
      <c r="A1435" s="2" t="s">
        <v>237</v>
      </c>
      <c r="B1435" s="2" t="s">
        <v>1033</v>
      </c>
      <c r="C1435" s="5" t="s">
        <v>2826</v>
      </c>
      <c r="D1435" s="2" t="s">
        <v>2827</v>
      </c>
    </row>
    <row r="1436" spans="1:4" ht="13.05" customHeight="1" x14ac:dyDescent="0.3">
      <c r="A1436" s="2" t="s">
        <v>237</v>
      </c>
      <c r="B1436" s="2" t="s">
        <v>1033</v>
      </c>
      <c r="C1436" s="5" t="s">
        <v>2828</v>
      </c>
      <c r="D1436" s="2" t="s">
        <v>2829</v>
      </c>
    </row>
    <row r="1437" spans="1:4" ht="13.05" customHeight="1" x14ac:dyDescent="0.3">
      <c r="A1437" s="2" t="s">
        <v>237</v>
      </c>
      <c r="B1437" s="2" t="s">
        <v>1033</v>
      </c>
      <c r="C1437" s="5" t="s">
        <v>2830</v>
      </c>
      <c r="D1437" s="2" t="s">
        <v>2831</v>
      </c>
    </row>
    <row r="1438" spans="1:4" ht="13.05" customHeight="1" x14ac:dyDescent="0.3">
      <c r="A1438" s="2" t="s">
        <v>237</v>
      </c>
      <c r="B1438" s="2" t="s">
        <v>1033</v>
      </c>
      <c r="C1438" s="5" t="s">
        <v>2832</v>
      </c>
      <c r="D1438" s="2" t="s">
        <v>2833</v>
      </c>
    </row>
    <row r="1439" spans="1:4" ht="13.05" customHeight="1" x14ac:dyDescent="0.3">
      <c r="A1439" s="2" t="s">
        <v>237</v>
      </c>
      <c r="B1439" s="2" t="s">
        <v>1033</v>
      </c>
      <c r="C1439" s="5" t="s">
        <v>2834</v>
      </c>
      <c r="D1439" s="2" t="s">
        <v>2835</v>
      </c>
    </row>
    <row r="1440" spans="1:4" ht="13.05" customHeight="1" x14ac:dyDescent="0.3">
      <c r="A1440" s="2" t="s">
        <v>237</v>
      </c>
      <c r="B1440" s="2" t="s">
        <v>1033</v>
      </c>
      <c r="C1440" s="5" t="s">
        <v>2836</v>
      </c>
      <c r="D1440" s="2" t="s">
        <v>2837</v>
      </c>
    </row>
    <row r="1441" spans="1:4" ht="13.05" customHeight="1" x14ac:dyDescent="0.3">
      <c r="A1441" s="2" t="s">
        <v>237</v>
      </c>
      <c r="B1441" s="2" t="s">
        <v>1033</v>
      </c>
      <c r="C1441" s="5" t="s">
        <v>2838</v>
      </c>
      <c r="D1441" s="2" t="s">
        <v>2839</v>
      </c>
    </row>
    <row r="1442" spans="1:4" ht="13.05" customHeight="1" x14ac:dyDescent="0.3">
      <c r="A1442" s="2" t="s">
        <v>237</v>
      </c>
      <c r="B1442" s="2" t="s">
        <v>1033</v>
      </c>
      <c r="C1442" s="5" t="s">
        <v>2840</v>
      </c>
      <c r="D1442" s="2" t="s">
        <v>2841</v>
      </c>
    </row>
    <row r="1443" spans="1:4" ht="13.05" customHeight="1" x14ac:dyDescent="0.3">
      <c r="A1443" s="2" t="s">
        <v>237</v>
      </c>
      <c r="B1443" s="2" t="s">
        <v>1033</v>
      </c>
      <c r="C1443" s="5" t="s">
        <v>2842</v>
      </c>
      <c r="D1443" s="2" t="s">
        <v>2843</v>
      </c>
    </row>
    <row r="1444" spans="1:4" ht="13.05" customHeight="1" x14ac:dyDescent="0.3">
      <c r="A1444" s="2" t="s">
        <v>237</v>
      </c>
      <c r="B1444" s="2" t="s">
        <v>1033</v>
      </c>
      <c r="C1444" s="5" t="s">
        <v>2844</v>
      </c>
      <c r="D1444" s="2" t="s">
        <v>2845</v>
      </c>
    </row>
    <row r="1445" spans="1:4" ht="13.05" customHeight="1" x14ac:dyDescent="0.3">
      <c r="A1445" s="2" t="s">
        <v>237</v>
      </c>
      <c r="B1445" s="2" t="s">
        <v>1033</v>
      </c>
      <c r="C1445" s="5" t="s">
        <v>2846</v>
      </c>
      <c r="D1445" s="2" t="s">
        <v>2847</v>
      </c>
    </row>
    <row r="1446" spans="1:4" ht="13.05" customHeight="1" x14ac:dyDescent="0.3">
      <c r="A1446" s="2" t="s">
        <v>237</v>
      </c>
      <c r="B1446" s="2" t="s">
        <v>1033</v>
      </c>
      <c r="C1446" s="5" t="s">
        <v>2848</v>
      </c>
      <c r="D1446" s="2" t="s">
        <v>2849</v>
      </c>
    </row>
    <row r="1447" spans="1:4" ht="13.05" customHeight="1" x14ac:dyDescent="0.3">
      <c r="A1447" s="2" t="s">
        <v>237</v>
      </c>
      <c r="B1447" s="2" t="s">
        <v>1033</v>
      </c>
      <c r="C1447" s="5" t="s">
        <v>2850</v>
      </c>
      <c r="D1447" s="2" t="s">
        <v>2851</v>
      </c>
    </row>
    <row r="1448" spans="1:4" ht="13.05" customHeight="1" x14ac:dyDescent="0.3">
      <c r="A1448" s="2" t="s">
        <v>237</v>
      </c>
      <c r="B1448" s="2" t="s">
        <v>1033</v>
      </c>
      <c r="C1448" s="5" t="s">
        <v>2852</v>
      </c>
      <c r="D1448" s="2" t="s">
        <v>2853</v>
      </c>
    </row>
    <row r="1449" spans="1:4" ht="13.05" customHeight="1" x14ac:dyDescent="0.3">
      <c r="A1449" s="2" t="s">
        <v>237</v>
      </c>
      <c r="B1449" s="2" t="s">
        <v>1033</v>
      </c>
      <c r="C1449" s="5" t="s">
        <v>2854</v>
      </c>
      <c r="D1449" s="2" t="s">
        <v>2855</v>
      </c>
    </row>
    <row r="1450" spans="1:4" ht="13.05" customHeight="1" x14ac:dyDescent="0.3">
      <c r="A1450" s="2" t="s">
        <v>237</v>
      </c>
      <c r="B1450" s="2" t="s">
        <v>1033</v>
      </c>
      <c r="C1450" s="5" t="s">
        <v>2856</v>
      </c>
      <c r="D1450" s="2" t="s">
        <v>2857</v>
      </c>
    </row>
    <row r="1451" spans="1:4" ht="13.05" customHeight="1" x14ac:dyDescent="0.3">
      <c r="A1451" s="2" t="s">
        <v>237</v>
      </c>
      <c r="B1451" s="2" t="s">
        <v>1033</v>
      </c>
      <c r="C1451" s="5" t="s">
        <v>2858</v>
      </c>
      <c r="D1451" s="2" t="s">
        <v>2859</v>
      </c>
    </row>
    <row r="1452" spans="1:4" ht="13.05" customHeight="1" x14ac:dyDescent="0.3">
      <c r="A1452" s="2" t="s">
        <v>237</v>
      </c>
      <c r="B1452" s="2" t="s">
        <v>1033</v>
      </c>
      <c r="C1452" s="5" t="s">
        <v>2860</v>
      </c>
      <c r="D1452" s="2" t="s">
        <v>2861</v>
      </c>
    </row>
    <row r="1453" spans="1:4" ht="13.05" customHeight="1" x14ac:dyDescent="0.3">
      <c r="A1453" s="2" t="s">
        <v>237</v>
      </c>
      <c r="B1453" s="2" t="s">
        <v>1033</v>
      </c>
      <c r="C1453" s="5" t="s">
        <v>2862</v>
      </c>
      <c r="D1453" s="2" t="s">
        <v>2863</v>
      </c>
    </row>
    <row r="1454" spans="1:4" ht="13.05" customHeight="1" x14ac:dyDescent="0.3">
      <c r="A1454" s="2" t="s">
        <v>237</v>
      </c>
      <c r="B1454" s="2" t="s">
        <v>1033</v>
      </c>
      <c r="C1454" s="5" t="s">
        <v>2864</v>
      </c>
      <c r="D1454" s="2" t="s">
        <v>2865</v>
      </c>
    </row>
    <row r="1455" spans="1:4" ht="13.05" customHeight="1" x14ac:dyDescent="0.3">
      <c r="A1455" s="2" t="s">
        <v>237</v>
      </c>
      <c r="B1455" s="2" t="s">
        <v>1033</v>
      </c>
      <c r="C1455" s="5" t="s">
        <v>2866</v>
      </c>
      <c r="D1455" s="2" t="s">
        <v>2867</v>
      </c>
    </row>
    <row r="1456" spans="1:4" ht="13.05" customHeight="1" x14ac:dyDescent="0.3">
      <c r="A1456" s="2" t="s">
        <v>237</v>
      </c>
      <c r="B1456" s="2" t="s">
        <v>1033</v>
      </c>
      <c r="C1456" s="5" t="s">
        <v>2868</v>
      </c>
      <c r="D1456" s="2" t="s">
        <v>2869</v>
      </c>
    </row>
    <row r="1457" spans="1:4" ht="13.05" customHeight="1" x14ac:dyDescent="0.3">
      <c r="A1457" s="2" t="s">
        <v>237</v>
      </c>
      <c r="B1457" s="2" t="s">
        <v>1033</v>
      </c>
      <c r="C1457" s="5" t="s">
        <v>2870</v>
      </c>
      <c r="D1457" s="2" t="s">
        <v>2871</v>
      </c>
    </row>
    <row r="1458" spans="1:4" ht="13.05" customHeight="1" x14ac:dyDescent="0.3">
      <c r="A1458" s="2" t="s">
        <v>237</v>
      </c>
      <c r="B1458" s="2" t="s">
        <v>1033</v>
      </c>
      <c r="C1458" s="5" t="s">
        <v>2872</v>
      </c>
      <c r="D1458" s="2" t="s">
        <v>2873</v>
      </c>
    </row>
    <row r="1459" spans="1:4" ht="13.05" customHeight="1" x14ac:dyDescent="0.3">
      <c r="A1459" s="2" t="s">
        <v>237</v>
      </c>
      <c r="B1459" s="2" t="s">
        <v>1033</v>
      </c>
      <c r="C1459" s="5" t="s">
        <v>2874</v>
      </c>
      <c r="D1459" s="2" t="s">
        <v>2875</v>
      </c>
    </row>
    <row r="1460" spans="1:4" ht="13.05" customHeight="1" x14ac:dyDescent="0.3">
      <c r="A1460" s="2" t="s">
        <v>237</v>
      </c>
      <c r="B1460" s="2" t="s">
        <v>1033</v>
      </c>
      <c r="C1460" s="5" t="s">
        <v>2876</v>
      </c>
      <c r="D1460" s="2" t="s">
        <v>2877</v>
      </c>
    </row>
    <row r="1461" spans="1:4" ht="13.05" customHeight="1" x14ac:dyDescent="0.3">
      <c r="A1461" s="2" t="s">
        <v>237</v>
      </c>
      <c r="B1461" s="2" t="s">
        <v>1033</v>
      </c>
      <c r="C1461" s="5" t="s">
        <v>2878</v>
      </c>
      <c r="D1461" s="2" t="s">
        <v>2879</v>
      </c>
    </row>
    <row r="1462" spans="1:4" ht="13.05" customHeight="1" x14ac:dyDescent="0.3">
      <c r="A1462" s="2" t="s">
        <v>237</v>
      </c>
      <c r="B1462" s="2" t="s">
        <v>1033</v>
      </c>
      <c r="C1462" s="5" t="s">
        <v>2880</v>
      </c>
      <c r="D1462" s="2" t="s">
        <v>2881</v>
      </c>
    </row>
    <row r="1463" spans="1:4" ht="13.05" customHeight="1" x14ac:dyDescent="0.3">
      <c r="A1463" s="2" t="s">
        <v>237</v>
      </c>
      <c r="B1463" s="2" t="s">
        <v>1033</v>
      </c>
      <c r="C1463" s="5" t="s">
        <v>2882</v>
      </c>
      <c r="D1463" s="2" t="s">
        <v>2883</v>
      </c>
    </row>
    <row r="1464" spans="1:4" ht="13.05" customHeight="1" x14ac:dyDescent="0.3">
      <c r="A1464" s="2" t="s">
        <v>237</v>
      </c>
      <c r="B1464" s="2" t="s">
        <v>1033</v>
      </c>
      <c r="C1464" s="5" t="s">
        <v>2884</v>
      </c>
      <c r="D1464" s="2" t="s">
        <v>2885</v>
      </c>
    </row>
    <row r="1465" spans="1:4" ht="13.05" customHeight="1" x14ac:dyDescent="0.3">
      <c r="A1465" s="2" t="s">
        <v>237</v>
      </c>
      <c r="B1465" s="2" t="s">
        <v>1033</v>
      </c>
      <c r="C1465" s="5" t="s">
        <v>2886</v>
      </c>
      <c r="D1465" s="2" t="s">
        <v>2887</v>
      </c>
    </row>
    <row r="1466" spans="1:4" ht="13.05" customHeight="1" x14ac:dyDescent="0.3">
      <c r="A1466" s="2" t="s">
        <v>237</v>
      </c>
      <c r="B1466" s="2" t="s">
        <v>1033</v>
      </c>
      <c r="C1466" s="5" t="s">
        <v>2888</v>
      </c>
      <c r="D1466" s="2" t="s">
        <v>2889</v>
      </c>
    </row>
    <row r="1467" spans="1:4" ht="13.05" customHeight="1" x14ac:dyDescent="0.3">
      <c r="A1467" s="2" t="s">
        <v>237</v>
      </c>
      <c r="B1467" s="2" t="s">
        <v>1033</v>
      </c>
      <c r="C1467" s="5" t="s">
        <v>2890</v>
      </c>
      <c r="D1467" s="2" t="s">
        <v>2891</v>
      </c>
    </row>
    <row r="1468" spans="1:4" ht="13.05" customHeight="1" x14ac:dyDescent="0.3">
      <c r="A1468" s="2" t="s">
        <v>237</v>
      </c>
      <c r="B1468" s="2" t="s">
        <v>1033</v>
      </c>
      <c r="C1468" s="5" t="s">
        <v>2892</v>
      </c>
      <c r="D1468" s="2" t="s">
        <v>2893</v>
      </c>
    </row>
    <row r="1469" spans="1:4" ht="13.05" customHeight="1" x14ac:dyDescent="0.3">
      <c r="A1469" s="2" t="s">
        <v>237</v>
      </c>
      <c r="B1469" s="2" t="s">
        <v>1033</v>
      </c>
      <c r="C1469" s="5" t="s">
        <v>2894</v>
      </c>
      <c r="D1469" s="2" t="s">
        <v>2895</v>
      </c>
    </row>
    <row r="1470" spans="1:4" ht="13.05" customHeight="1" x14ac:dyDescent="0.3">
      <c r="A1470" s="2" t="s">
        <v>237</v>
      </c>
      <c r="B1470" s="2" t="s">
        <v>1033</v>
      </c>
      <c r="C1470" s="5" t="s">
        <v>2896</v>
      </c>
      <c r="D1470" s="2" t="s">
        <v>2897</v>
      </c>
    </row>
    <row r="1471" spans="1:4" ht="13.05" customHeight="1" x14ac:dyDescent="0.3">
      <c r="A1471" s="2" t="s">
        <v>237</v>
      </c>
      <c r="B1471" s="2" t="s">
        <v>1033</v>
      </c>
      <c r="C1471" s="5" t="s">
        <v>2898</v>
      </c>
      <c r="D1471" s="2" t="s">
        <v>2899</v>
      </c>
    </row>
    <row r="1472" spans="1:4" ht="13.05" customHeight="1" x14ac:dyDescent="0.3">
      <c r="A1472" s="2" t="s">
        <v>237</v>
      </c>
      <c r="B1472" s="2" t="s">
        <v>1033</v>
      </c>
      <c r="C1472" s="5" t="s">
        <v>2900</v>
      </c>
      <c r="D1472" s="2" t="s">
        <v>2901</v>
      </c>
    </row>
    <row r="1473" spans="1:4" ht="13.05" customHeight="1" x14ac:dyDescent="0.3">
      <c r="A1473" s="2" t="s">
        <v>237</v>
      </c>
      <c r="B1473" s="2" t="s">
        <v>1033</v>
      </c>
      <c r="C1473" s="5" t="s">
        <v>2902</v>
      </c>
      <c r="D1473" s="2" t="s">
        <v>2903</v>
      </c>
    </row>
    <row r="1474" spans="1:4" ht="13.05" customHeight="1" x14ac:dyDescent="0.3">
      <c r="A1474" s="2" t="s">
        <v>237</v>
      </c>
      <c r="B1474" s="2" t="s">
        <v>1033</v>
      </c>
      <c r="C1474" s="5" t="s">
        <v>2904</v>
      </c>
      <c r="D1474" s="2" t="s">
        <v>2905</v>
      </c>
    </row>
    <row r="1475" spans="1:4" ht="13.05" customHeight="1" x14ac:dyDescent="0.3">
      <c r="A1475" s="2" t="s">
        <v>237</v>
      </c>
      <c r="B1475" s="2" t="s">
        <v>1033</v>
      </c>
      <c r="C1475" s="5" t="s">
        <v>2906</v>
      </c>
      <c r="D1475" s="2" t="s">
        <v>2907</v>
      </c>
    </row>
    <row r="1476" spans="1:4" ht="13.05" customHeight="1" x14ac:dyDescent="0.3">
      <c r="A1476" s="2" t="s">
        <v>237</v>
      </c>
      <c r="B1476" s="2" t="s">
        <v>1033</v>
      </c>
      <c r="C1476" s="5" t="s">
        <v>2908</v>
      </c>
      <c r="D1476" s="2" t="s">
        <v>2909</v>
      </c>
    </row>
    <row r="1477" spans="1:4" ht="13.05" customHeight="1" x14ac:dyDescent="0.3">
      <c r="A1477" s="2" t="s">
        <v>237</v>
      </c>
      <c r="B1477" s="2" t="s">
        <v>1033</v>
      </c>
      <c r="C1477" s="5" t="s">
        <v>2910</v>
      </c>
      <c r="D1477" s="2" t="s">
        <v>2911</v>
      </c>
    </row>
    <row r="1478" spans="1:4" ht="13.05" customHeight="1" x14ac:dyDescent="0.3">
      <c r="A1478" s="2" t="s">
        <v>237</v>
      </c>
      <c r="B1478" s="2" t="s">
        <v>1033</v>
      </c>
      <c r="C1478" s="5" t="s">
        <v>2912</v>
      </c>
      <c r="D1478" s="2" t="s">
        <v>2913</v>
      </c>
    </row>
    <row r="1479" spans="1:4" ht="13.05" customHeight="1" x14ac:dyDescent="0.3">
      <c r="A1479" s="2" t="s">
        <v>237</v>
      </c>
      <c r="B1479" s="2" t="s">
        <v>1033</v>
      </c>
      <c r="C1479" s="5" t="s">
        <v>2914</v>
      </c>
      <c r="D1479" s="2" t="s">
        <v>2915</v>
      </c>
    </row>
    <row r="1480" spans="1:4" ht="13.05" customHeight="1" x14ac:dyDescent="0.3">
      <c r="A1480" s="2" t="s">
        <v>237</v>
      </c>
      <c r="B1480" s="2" t="s">
        <v>1033</v>
      </c>
      <c r="C1480" s="5" t="s">
        <v>2916</v>
      </c>
      <c r="D1480" s="2" t="s">
        <v>2917</v>
      </c>
    </row>
    <row r="1481" spans="1:4" ht="13.05" customHeight="1" x14ac:dyDescent="0.3">
      <c r="A1481" s="2" t="s">
        <v>237</v>
      </c>
      <c r="B1481" s="2" t="s">
        <v>1033</v>
      </c>
      <c r="C1481" s="5" t="s">
        <v>2918</v>
      </c>
      <c r="D1481" s="2" t="s">
        <v>2919</v>
      </c>
    </row>
    <row r="1482" spans="1:4" ht="13.05" customHeight="1" x14ac:dyDescent="0.3">
      <c r="A1482" s="2" t="s">
        <v>237</v>
      </c>
      <c r="B1482" s="2" t="s">
        <v>1033</v>
      </c>
      <c r="C1482" s="5" t="s">
        <v>2920</v>
      </c>
      <c r="D1482" s="2" t="s">
        <v>2921</v>
      </c>
    </row>
    <row r="1483" spans="1:4" ht="13.05" customHeight="1" x14ac:dyDescent="0.3">
      <c r="A1483" s="2" t="s">
        <v>237</v>
      </c>
      <c r="B1483" s="2" t="s">
        <v>1033</v>
      </c>
      <c r="C1483" s="5" t="s">
        <v>2922</v>
      </c>
      <c r="D1483" s="2" t="s">
        <v>2923</v>
      </c>
    </row>
    <row r="1484" spans="1:4" ht="13.05" customHeight="1" x14ac:dyDescent="0.3">
      <c r="A1484" s="2" t="s">
        <v>237</v>
      </c>
      <c r="B1484" s="2" t="s">
        <v>1033</v>
      </c>
      <c r="C1484" s="5" t="s">
        <v>2924</v>
      </c>
      <c r="D1484" s="2" t="s">
        <v>2925</v>
      </c>
    </row>
    <row r="1485" spans="1:4" ht="13.05" customHeight="1" x14ac:dyDescent="0.3">
      <c r="A1485" s="2" t="s">
        <v>237</v>
      </c>
      <c r="B1485" s="2" t="s">
        <v>1033</v>
      </c>
      <c r="C1485" s="5" t="s">
        <v>2926</v>
      </c>
      <c r="D1485" s="2" t="s">
        <v>2927</v>
      </c>
    </row>
    <row r="1486" spans="1:4" ht="13.05" customHeight="1" x14ac:dyDescent="0.3">
      <c r="A1486" s="2" t="s">
        <v>237</v>
      </c>
      <c r="B1486" s="2" t="s">
        <v>1033</v>
      </c>
      <c r="C1486" s="5" t="s">
        <v>2928</v>
      </c>
      <c r="D1486" s="2" t="s">
        <v>2929</v>
      </c>
    </row>
    <row r="1487" spans="1:4" ht="13.05" customHeight="1" x14ac:dyDescent="0.3">
      <c r="A1487" s="2" t="s">
        <v>237</v>
      </c>
      <c r="B1487" s="2" t="s">
        <v>1033</v>
      </c>
      <c r="C1487" s="5" t="s">
        <v>2930</v>
      </c>
      <c r="D1487" s="2" t="s">
        <v>2931</v>
      </c>
    </row>
    <row r="1488" spans="1:4" ht="13.05" customHeight="1" x14ac:dyDescent="0.3">
      <c r="A1488" s="2" t="s">
        <v>237</v>
      </c>
      <c r="B1488" s="2" t="s">
        <v>1033</v>
      </c>
      <c r="C1488" s="5" t="s">
        <v>2932</v>
      </c>
      <c r="D1488" s="2" t="s">
        <v>2933</v>
      </c>
    </row>
    <row r="1489" spans="1:4" ht="13.05" customHeight="1" x14ac:dyDescent="0.3">
      <c r="A1489" s="2" t="s">
        <v>237</v>
      </c>
      <c r="B1489" s="2" t="s">
        <v>1033</v>
      </c>
      <c r="C1489" s="5" t="s">
        <v>2934</v>
      </c>
      <c r="D1489" s="2" t="s">
        <v>2935</v>
      </c>
    </row>
    <row r="1490" spans="1:4" ht="13.05" customHeight="1" x14ac:dyDescent="0.3">
      <c r="A1490" s="2" t="s">
        <v>237</v>
      </c>
      <c r="B1490" s="2" t="s">
        <v>1033</v>
      </c>
      <c r="C1490" s="5" t="s">
        <v>2936</v>
      </c>
      <c r="D1490" s="2" t="s">
        <v>2937</v>
      </c>
    </row>
    <row r="1491" spans="1:4" ht="13.05" customHeight="1" x14ac:dyDescent="0.3">
      <c r="A1491" s="2" t="s">
        <v>237</v>
      </c>
      <c r="B1491" s="2" t="s">
        <v>1033</v>
      </c>
      <c r="C1491" s="5" t="s">
        <v>2938</v>
      </c>
      <c r="D1491" s="2" t="s">
        <v>2939</v>
      </c>
    </row>
    <row r="1492" spans="1:4" ht="13.05" customHeight="1" x14ac:dyDescent="0.3">
      <c r="A1492" s="2" t="s">
        <v>237</v>
      </c>
      <c r="B1492" s="2" t="s">
        <v>1033</v>
      </c>
      <c r="C1492" s="5" t="s">
        <v>2940</v>
      </c>
      <c r="D1492" s="2" t="s">
        <v>2941</v>
      </c>
    </row>
    <row r="1493" spans="1:4" ht="13.05" customHeight="1" x14ac:dyDescent="0.3">
      <c r="A1493" s="2" t="s">
        <v>237</v>
      </c>
      <c r="B1493" s="2" t="s">
        <v>1033</v>
      </c>
      <c r="C1493" s="5" t="s">
        <v>2942</v>
      </c>
      <c r="D1493" s="2" t="s">
        <v>2943</v>
      </c>
    </row>
    <row r="1494" spans="1:4" ht="13.05" customHeight="1" x14ac:dyDescent="0.3">
      <c r="A1494" s="2" t="s">
        <v>237</v>
      </c>
      <c r="B1494" s="2" t="s">
        <v>1033</v>
      </c>
      <c r="C1494" s="5" t="s">
        <v>2944</v>
      </c>
      <c r="D1494" s="2" t="s">
        <v>2945</v>
      </c>
    </row>
    <row r="1495" spans="1:4" ht="13.05" customHeight="1" x14ac:dyDescent="0.3">
      <c r="A1495" s="2" t="s">
        <v>237</v>
      </c>
      <c r="B1495" s="2" t="s">
        <v>1033</v>
      </c>
      <c r="C1495" s="5" t="s">
        <v>2946</v>
      </c>
      <c r="D1495" s="2" t="s">
        <v>2947</v>
      </c>
    </row>
    <row r="1496" spans="1:4" ht="13.05" customHeight="1" x14ac:dyDescent="0.3">
      <c r="A1496" s="2" t="s">
        <v>237</v>
      </c>
      <c r="B1496" s="2" t="s">
        <v>1033</v>
      </c>
      <c r="C1496" s="5" t="s">
        <v>2948</v>
      </c>
      <c r="D1496" s="2" t="s">
        <v>2949</v>
      </c>
    </row>
    <row r="1497" spans="1:4" ht="13.05" customHeight="1" x14ac:dyDescent="0.3">
      <c r="A1497" s="2" t="s">
        <v>237</v>
      </c>
      <c r="B1497" s="2" t="s">
        <v>1033</v>
      </c>
      <c r="C1497" s="5" t="s">
        <v>2950</v>
      </c>
      <c r="D1497" s="2" t="s">
        <v>2951</v>
      </c>
    </row>
    <row r="1498" spans="1:4" ht="13.05" customHeight="1" x14ac:dyDescent="0.3">
      <c r="A1498" s="2" t="s">
        <v>237</v>
      </c>
      <c r="B1498" s="2" t="s">
        <v>1033</v>
      </c>
      <c r="C1498" s="5" t="s">
        <v>2952</v>
      </c>
      <c r="D1498" s="2" t="s">
        <v>2953</v>
      </c>
    </row>
    <row r="1499" spans="1:4" ht="13.05" customHeight="1" x14ac:dyDescent="0.3">
      <c r="A1499" s="2" t="s">
        <v>237</v>
      </c>
      <c r="B1499" s="2" t="s">
        <v>1033</v>
      </c>
      <c r="C1499" s="5" t="s">
        <v>2954</v>
      </c>
      <c r="D1499" s="2" t="s">
        <v>2955</v>
      </c>
    </row>
    <row r="1500" spans="1:4" ht="13.05" customHeight="1" x14ac:dyDescent="0.3">
      <c r="A1500" s="2" t="s">
        <v>237</v>
      </c>
      <c r="B1500" s="2" t="s">
        <v>1033</v>
      </c>
      <c r="C1500" s="5" t="s">
        <v>2956</v>
      </c>
      <c r="D1500" s="2" t="s">
        <v>2957</v>
      </c>
    </row>
    <row r="1501" spans="1:4" ht="13.05" customHeight="1" x14ac:dyDescent="0.3">
      <c r="A1501" s="2" t="s">
        <v>237</v>
      </c>
      <c r="B1501" s="2" t="s">
        <v>1033</v>
      </c>
      <c r="C1501" s="5" t="s">
        <v>2958</v>
      </c>
      <c r="D1501" s="2" t="s">
        <v>2959</v>
      </c>
    </row>
    <row r="1502" spans="1:4" ht="13.05" customHeight="1" x14ac:dyDescent="0.3">
      <c r="A1502" s="2" t="s">
        <v>237</v>
      </c>
      <c r="B1502" s="2" t="s">
        <v>1033</v>
      </c>
      <c r="C1502" s="5" t="s">
        <v>2960</v>
      </c>
      <c r="D1502" s="2" t="s">
        <v>2961</v>
      </c>
    </row>
    <row r="1503" spans="1:4" ht="13.05" customHeight="1" x14ac:dyDescent="0.3">
      <c r="A1503" s="2" t="s">
        <v>237</v>
      </c>
      <c r="B1503" s="2" t="s">
        <v>1033</v>
      </c>
      <c r="C1503" s="5" t="s">
        <v>2962</v>
      </c>
      <c r="D1503" s="2" t="s">
        <v>2963</v>
      </c>
    </row>
    <row r="1504" spans="1:4" ht="13.05" customHeight="1" x14ac:dyDescent="0.3">
      <c r="A1504" s="2" t="s">
        <v>237</v>
      </c>
      <c r="B1504" s="2" t="s">
        <v>1033</v>
      </c>
      <c r="C1504" s="5" t="s">
        <v>2964</v>
      </c>
      <c r="D1504" s="2" t="s">
        <v>2965</v>
      </c>
    </row>
    <row r="1505" spans="1:4" ht="13.05" customHeight="1" x14ac:dyDescent="0.3">
      <c r="A1505" s="2" t="s">
        <v>237</v>
      </c>
      <c r="B1505" s="2" t="s">
        <v>1033</v>
      </c>
      <c r="C1505" s="5" t="s">
        <v>2966</v>
      </c>
      <c r="D1505" s="2" t="s">
        <v>2967</v>
      </c>
    </row>
    <row r="1506" spans="1:4" ht="13.05" customHeight="1" x14ac:dyDescent="0.3">
      <c r="A1506" s="2" t="s">
        <v>237</v>
      </c>
      <c r="B1506" s="2" t="s">
        <v>1033</v>
      </c>
      <c r="C1506" s="5" t="s">
        <v>2968</v>
      </c>
      <c r="D1506" s="2" t="s">
        <v>2969</v>
      </c>
    </row>
    <row r="1507" spans="1:4" ht="13.05" customHeight="1" x14ac:dyDescent="0.3">
      <c r="A1507" s="2" t="s">
        <v>237</v>
      </c>
      <c r="B1507" s="2" t="s">
        <v>1033</v>
      </c>
      <c r="C1507" s="5" t="s">
        <v>2970</v>
      </c>
      <c r="D1507" s="2" t="s">
        <v>2971</v>
      </c>
    </row>
    <row r="1508" spans="1:4" ht="13.05" customHeight="1" x14ac:dyDescent="0.3">
      <c r="A1508" s="2" t="s">
        <v>237</v>
      </c>
      <c r="B1508" s="2" t="s">
        <v>1033</v>
      </c>
      <c r="C1508" s="5" t="s">
        <v>2972</v>
      </c>
      <c r="D1508" s="2" t="s">
        <v>2973</v>
      </c>
    </row>
    <row r="1509" spans="1:4" ht="13.05" customHeight="1" x14ac:dyDescent="0.3">
      <c r="A1509" s="2" t="s">
        <v>237</v>
      </c>
      <c r="B1509" s="2" t="s">
        <v>1033</v>
      </c>
      <c r="C1509" s="5" t="s">
        <v>2974</v>
      </c>
      <c r="D1509" s="2" t="s">
        <v>2975</v>
      </c>
    </row>
    <row r="1510" spans="1:4" ht="13.05" customHeight="1" x14ac:dyDescent="0.3">
      <c r="A1510" s="2" t="s">
        <v>237</v>
      </c>
      <c r="B1510" s="2" t="s">
        <v>1033</v>
      </c>
      <c r="C1510" s="5" t="s">
        <v>2976</v>
      </c>
      <c r="D1510" s="2" t="s">
        <v>2977</v>
      </c>
    </row>
    <row r="1511" spans="1:4" ht="13.05" customHeight="1" x14ac:dyDescent="0.3">
      <c r="A1511" s="2" t="s">
        <v>237</v>
      </c>
      <c r="B1511" s="2" t="s">
        <v>1033</v>
      </c>
      <c r="C1511" s="5" t="s">
        <v>2978</v>
      </c>
      <c r="D1511" s="2" t="s">
        <v>2979</v>
      </c>
    </row>
    <row r="1512" spans="1:4" ht="13.05" customHeight="1" x14ac:dyDescent="0.3">
      <c r="A1512" s="2" t="s">
        <v>237</v>
      </c>
      <c r="B1512" s="2" t="s">
        <v>1033</v>
      </c>
      <c r="C1512" s="5" t="s">
        <v>2980</v>
      </c>
      <c r="D1512" s="2" t="s">
        <v>2981</v>
      </c>
    </row>
    <row r="1513" spans="1:4" ht="13.05" customHeight="1" x14ac:dyDescent="0.3">
      <c r="A1513" s="2" t="s">
        <v>237</v>
      </c>
      <c r="B1513" s="2" t="s">
        <v>1033</v>
      </c>
      <c r="C1513" s="5" t="s">
        <v>2982</v>
      </c>
      <c r="D1513" s="2" t="s">
        <v>2983</v>
      </c>
    </row>
    <row r="1514" spans="1:4" ht="13.05" customHeight="1" x14ac:dyDescent="0.3">
      <c r="A1514" s="2" t="s">
        <v>237</v>
      </c>
      <c r="B1514" s="2" t="s">
        <v>1033</v>
      </c>
      <c r="C1514" s="5" t="s">
        <v>2984</v>
      </c>
      <c r="D1514" s="2" t="s">
        <v>2985</v>
      </c>
    </row>
    <row r="1515" spans="1:4" ht="13.05" customHeight="1" x14ac:dyDescent="0.3">
      <c r="A1515" s="2" t="s">
        <v>237</v>
      </c>
      <c r="B1515" s="2" t="s">
        <v>1033</v>
      </c>
      <c r="C1515" s="5" t="s">
        <v>2986</v>
      </c>
      <c r="D1515" s="2" t="s">
        <v>2987</v>
      </c>
    </row>
    <row r="1516" spans="1:4" ht="13.05" customHeight="1" x14ac:dyDescent="0.3">
      <c r="A1516" s="2" t="s">
        <v>237</v>
      </c>
      <c r="B1516" s="2" t="s">
        <v>1033</v>
      </c>
      <c r="C1516" s="5" t="s">
        <v>2988</v>
      </c>
      <c r="D1516" s="2" t="s">
        <v>2989</v>
      </c>
    </row>
    <row r="1517" spans="1:4" ht="13.05" customHeight="1" x14ac:dyDescent="0.3">
      <c r="A1517" s="2" t="s">
        <v>237</v>
      </c>
      <c r="B1517" s="2" t="s">
        <v>1033</v>
      </c>
      <c r="C1517" s="5" t="s">
        <v>2990</v>
      </c>
      <c r="D1517" s="2" t="s">
        <v>2991</v>
      </c>
    </row>
    <row r="1518" spans="1:4" ht="13.05" customHeight="1" x14ac:dyDescent="0.3">
      <c r="A1518" s="2" t="s">
        <v>237</v>
      </c>
      <c r="B1518" s="2" t="s">
        <v>1033</v>
      </c>
      <c r="C1518" s="5" t="s">
        <v>2992</v>
      </c>
      <c r="D1518" s="2" t="s">
        <v>2993</v>
      </c>
    </row>
    <row r="1519" spans="1:4" ht="13.05" customHeight="1" x14ac:dyDescent="0.3">
      <c r="A1519" s="2" t="s">
        <v>237</v>
      </c>
      <c r="B1519" s="2" t="s">
        <v>1033</v>
      </c>
      <c r="C1519" s="5" t="s">
        <v>2994</v>
      </c>
      <c r="D1519" s="2" t="s">
        <v>2995</v>
      </c>
    </row>
    <row r="1520" spans="1:4" ht="13.05" customHeight="1" x14ac:dyDescent="0.3">
      <c r="A1520" s="2" t="s">
        <v>237</v>
      </c>
      <c r="B1520" s="2" t="s">
        <v>1033</v>
      </c>
      <c r="C1520" s="5" t="s">
        <v>2996</v>
      </c>
      <c r="D1520" s="2" t="s">
        <v>2997</v>
      </c>
    </row>
    <row r="1521" spans="1:4" ht="13.05" customHeight="1" x14ac:dyDescent="0.3">
      <c r="A1521" s="2" t="s">
        <v>237</v>
      </c>
      <c r="B1521" s="2" t="s">
        <v>1033</v>
      </c>
      <c r="C1521" s="5" t="s">
        <v>2998</v>
      </c>
      <c r="D1521" s="2" t="s">
        <v>2999</v>
      </c>
    </row>
    <row r="1522" spans="1:4" ht="13.05" customHeight="1" x14ac:dyDescent="0.3">
      <c r="A1522" s="2" t="s">
        <v>237</v>
      </c>
      <c r="B1522" s="2" t="s">
        <v>1033</v>
      </c>
      <c r="C1522" s="5" t="s">
        <v>3000</v>
      </c>
      <c r="D1522" s="2" t="s">
        <v>3001</v>
      </c>
    </row>
    <row r="1523" spans="1:4" ht="13.05" customHeight="1" x14ac:dyDescent="0.3">
      <c r="A1523" s="2" t="s">
        <v>237</v>
      </c>
      <c r="B1523" s="2" t="s">
        <v>1033</v>
      </c>
      <c r="C1523" s="5" t="s">
        <v>3002</v>
      </c>
      <c r="D1523" s="2" t="s">
        <v>3003</v>
      </c>
    </row>
    <row r="1524" spans="1:4" ht="13.05" customHeight="1" x14ac:dyDescent="0.3">
      <c r="A1524" s="2" t="s">
        <v>237</v>
      </c>
      <c r="B1524" s="2" t="s">
        <v>1033</v>
      </c>
      <c r="C1524" s="5" t="s">
        <v>3004</v>
      </c>
      <c r="D1524" s="2" t="s">
        <v>3005</v>
      </c>
    </row>
    <row r="1525" spans="1:4" ht="13.05" customHeight="1" x14ac:dyDescent="0.3">
      <c r="A1525" s="2" t="s">
        <v>237</v>
      </c>
      <c r="B1525" s="2" t="s">
        <v>1033</v>
      </c>
      <c r="C1525" s="5" t="s">
        <v>3006</v>
      </c>
      <c r="D1525" s="2" t="s">
        <v>3007</v>
      </c>
    </row>
    <row r="1526" spans="1:4" ht="13.05" customHeight="1" x14ac:dyDescent="0.3">
      <c r="A1526" s="2" t="s">
        <v>237</v>
      </c>
      <c r="B1526" s="2" t="s">
        <v>1033</v>
      </c>
      <c r="C1526" s="5" t="s">
        <v>3008</v>
      </c>
      <c r="D1526" s="2" t="s">
        <v>3009</v>
      </c>
    </row>
    <row r="1527" spans="1:4" ht="13.05" customHeight="1" x14ac:dyDescent="0.3">
      <c r="A1527" s="2" t="s">
        <v>237</v>
      </c>
      <c r="B1527" s="2" t="s">
        <v>1033</v>
      </c>
      <c r="C1527" s="5" t="s">
        <v>3010</v>
      </c>
      <c r="D1527" s="2" t="s">
        <v>3011</v>
      </c>
    </row>
    <row r="1528" spans="1:4" ht="13.05" customHeight="1" x14ac:dyDescent="0.3">
      <c r="A1528" s="2" t="s">
        <v>237</v>
      </c>
      <c r="B1528" s="2" t="s">
        <v>1033</v>
      </c>
      <c r="C1528" s="5" t="s">
        <v>3012</v>
      </c>
      <c r="D1528" s="2" t="s">
        <v>3013</v>
      </c>
    </row>
    <row r="1529" spans="1:4" ht="13.05" customHeight="1" x14ac:dyDescent="0.3">
      <c r="A1529" s="2" t="s">
        <v>237</v>
      </c>
      <c r="B1529" s="2" t="s">
        <v>1033</v>
      </c>
      <c r="C1529" s="5" t="s">
        <v>3014</v>
      </c>
      <c r="D1529" s="2" t="s">
        <v>3015</v>
      </c>
    </row>
    <row r="1530" spans="1:4" ht="13.05" customHeight="1" x14ac:dyDescent="0.3">
      <c r="A1530" s="2" t="s">
        <v>237</v>
      </c>
      <c r="B1530" s="2" t="s">
        <v>1033</v>
      </c>
      <c r="C1530" s="5" t="s">
        <v>3016</v>
      </c>
      <c r="D1530" s="2" t="s">
        <v>3017</v>
      </c>
    </row>
    <row r="1531" spans="1:4" ht="13.05" customHeight="1" x14ac:dyDescent="0.3">
      <c r="A1531" s="2" t="s">
        <v>237</v>
      </c>
      <c r="B1531" s="2" t="s">
        <v>1033</v>
      </c>
      <c r="C1531" s="5" t="s">
        <v>3018</v>
      </c>
      <c r="D1531" s="2" t="s">
        <v>3019</v>
      </c>
    </row>
    <row r="1532" spans="1:4" ht="13.05" customHeight="1" x14ac:dyDescent="0.3">
      <c r="A1532" s="2" t="s">
        <v>237</v>
      </c>
      <c r="B1532" s="2" t="s">
        <v>1033</v>
      </c>
      <c r="C1532" s="5" t="s">
        <v>3020</v>
      </c>
      <c r="D1532" s="2" t="s">
        <v>3021</v>
      </c>
    </row>
    <row r="1533" spans="1:4" ht="13.05" customHeight="1" x14ac:dyDescent="0.3">
      <c r="A1533" s="2" t="s">
        <v>237</v>
      </c>
      <c r="B1533" s="2" t="s">
        <v>1033</v>
      </c>
      <c r="C1533" s="5" t="s">
        <v>3022</v>
      </c>
      <c r="D1533" s="2" t="s">
        <v>3023</v>
      </c>
    </row>
    <row r="1534" spans="1:4" ht="13.05" customHeight="1" x14ac:dyDescent="0.3">
      <c r="A1534" s="2" t="s">
        <v>237</v>
      </c>
      <c r="B1534" s="2" t="s">
        <v>1033</v>
      </c>
      <c r="C1534" s="5" t="s">
        <v>3024</v>
      </c>
      <c r="D1534" s="2" t="s">
        <v>3025</v>
      </c>
    </row>
    <row r="1535" spans="1:4" ht="13.05" customHeight="1" x14ac:dyDescent="0.3">
      <c r="A1535" s="2" t="s">
        <v>237</v>
      </c>
      <c r="B1535" s="2" t="s">
        <v>1033</v>
      </c>
      <c r="C1535" s="5" t="s">
        <v>3026</v>
      </c>
      <c r="D1535" s="2" t="s">
        <v>3027</v>
      </c>
    </row>
    <row r="1536" spans="1:4" ht="13.05" customHeight="1" x14ac:dyDescent="0.3">
      <c r="A1536" s="2" t="s">
        <v>237</v>
      </c>
      <c r="B1536" s="2" t="s">
        <v>1033</v>
      </c>
      <c r="C1536" s="5" t="s">
        <v>3028</v>
      </c>
      <c r="D1536" s="2" t="s">
        <v>3029</v>
      </c>
    </row>
    <row r="1537" spans="1:4" ht="13.05" customHeight="1" x14ac:dyDescent="0.3">
      <c r="A1537" s="2" t="s">
        <v>237</v>
      </c>
      <c r="B1537" s="2" t="s">
        <v>1033</v>
      </c>
      <c r="C1537" s="5" t="s">
        <v>3030</v>
      </c>
      <c r="D1537" s="2" t="s">
        <v>3031</v>
      </c>
    </row>
    <row r="1538" spans="1:4" ht="13.05" customHeight="1" x14ac:dyDescent="0.3">
      <c r="A1538" s="2" t="s">
        <v>237</v>
      </c>
      <c r="B1538" s="2" t="s">
        <v>1033</v>
      </c>
      <c r="C1538" s="5" t="s">
        <v>3032</v>
      </c>
      <c r="D1538" s="2" t="s">
        <v>3033</v>
      </c>
    </row>
    <row r="1539" spans="1:4" ht="13.05" customHeight="1" x14ac:dyDescent="0.3">
      <c r="A1539" s="2" t="s">
        <v>237</v>
      </c>
      <c r="B1539" s="2" t="s">
        <v>1033</v>
      </c>
      <c r="C1539" s="5" t="s">
        <v>3034</v>
      </c>
      <c r="D1539" s="2" t="s">
        <v>3035</v>
      </c>
    </row>
    <row r="1540" spans="1:4" ht="13.05" customHeight="1" x14ac:dyDescent="0.3">
      <c r="A1540" s="2" t="s">
        <v>237</v>
      </c>
      <c r="B1540" s="2" t="s">
        <v>1033</v>
      </c>
      <c r="C1540" s="5" t="s">
        <v>3036</v>
      </c>
      <c r="D1540" s="2" t="s">
        <v>3037</v>
      </c>
    </row>
    <row r="1541" spans="1:4" ht="13.05" customHeight="1" x14ac:dyDescent="0.3">
      <c r="A1541" s="2" t="s">
        <v>237</v>
      </c>
      <c r="B1541" s="2" t="s">
        <v>1033</v>
      </c>
      <c r="C1541" s="5" t="s">
        <v>3038</v>
      </c>
      <c r="D1541" s="2" t="s">
        <v>3039</v>
      </c>
    </row>
    <row r="1542" spans="1:4" ht="13.05" customHeight="1" x14ac:dyDescent="0.3">
      <c r="A1542" s="2" t="s">
        <v>237</v>
      </c>
      <c r="B1542" s="2" t="s">
        <v>1033</v>
      </c>
      <c r="C1542" s="5" t="s">
        <v>3040</v>
      </c>
      <c r="D1542" s="2" t="s">
        <v>3041</v>
      </c>
    </row>
    <row r="1543" spans="1:4" ht="13.05" customHeight="1" x14ac:dyDescent="0.3">
      <c r="A1543" s="2" t="s">
        <v>239</v>
      </c>
      <c r="B1543" s="2" t="s">
        <v>1033</v>
      </c>
      <c r="C1543" s="5" t="s">
        <v>1044</v>
      </c>
      <c r="D1543" s="2" t="s">
        <v>1045</v>
      </c>
    </row>
    <row r="1544" spans="1:4" ht="13.05" customHeight="1" x14ac:dyDescent="0.3">
      <c r="A1544" s="2" t="s">
        <v>239</v>
      </c>
      <c r="B1544" s="2" t="s">
        <v>1033</v>
      </c>
      <c r="C1544" s="5" t="s">
        <v>1015</v>
      </c>
      <c r="D1544" s="2" t="s">
        <v>1016</v>
      </c>
    </row>
    <row r="1545" spans="1:4" ht="13.05" customHeight="1" x14ac:dyDescent="0.3">
      <c r="A1545" s="2" t="s">
        <v>239</v>
      </c>
      <c r="B1545" s="2" t="s">
        <v>1033</v>
      </c>
      <c r="C1545" s="5" t="s">
        <v>1017</v>
      </c>
      <c r="D1545" s="2" t="s">
        <v>1018</v>
      </c>
    </row>
    <row r="1546" spans="1:4" ht="13.05" customHeight="1" x14ac:dyDescent="0.3">
      <c r="A1546" s="2" t="s">
        <v>239</v>
      </c>
      <c r="B1546" s="2" t="s">
        <v>1033</v>
      </c>
      <c r="C1546" s="5" t="s">
        <v>1021</v>
      </c>
      <c r="D1546" s="2" t="s">
        <v>3042</v>
      </c>
    </row>
    <row r="1547" spans="1:4" ht="13.05" customHeight="1" x14ac:dyDescent="0.3">
      <c r="A1547" s="2" t="s">
        <v>239</v>
      </c>
      <c r="B1547" s="2" t="s">
        <v>1033</v>
      </c>
      <c r="C1547" s="5" t="s">
        <v>1023</v>
      </c>
      <c r="D1547" s="2" t="s">
        <v>3043</v>
      </c>
    </row>
    <row r="1548" spans="1:4" ht="13.05" customHeight="1" x14ac:dyDescent="0.3">
      <c r="A1548" s="2" t="s">
        <v>239</v>
      </c>
      <c r="B1548" s="2" t="s">
        <v>1033</v>
      </c>
      <c r="C1548" s="5" t="s">
        <v>1025</v>
      </c>
      <c r="D1548" s="2" t="s">
        <v>3044</v>
      </c>
    </row>
    <row r="1549" spans="1:4" ht="13.05" customHeight="1" x14ac:dyDescent="0.3">
      <c r="A1549" s="2" t="s">
        <v>239</v>
      </c>
      <c r="B1549" s="2" t="s">
        <v>1033</v>
      </c>
      <c r="C1549" s="5" t="s">
        <v>1027</v>
      </c>
      <c r="D1549" s="2" t="s">
        <v>3045</v>
      </c>
    </row>
    <row r="1550" spans="1:4" ht="13.05" customHeight="1" x14ac:dyDescent="0.3">
      <c r="A1550" s="2" t="s">
        <v>239</v>
      </c>
      <c r="B1550" s="2" t="s">
        <v>1033</v>
      </c>
      <c r="C1550" s="5" t="s">
        <v>1029</v>
      </c>
      <c r="D1550" s="2" t="s">
        <v>3046</v>
      </c>
    </row>
    <row r="1551" spans="1:4" ht="13.05" customHeight="1" x14ac:dyDescent="0.3">
      <c r="A1551" s="2" t="s">
        <v>239</v>
      </c>
      <c r="B1551" s="2" t="s">
        <v>1033</v>
      </c>
      <c r="C1551" s="5" t="s">
        <v>1031</v>
      </c>
      <c r="D1551" s="2" t="s">
        <v>3047</v>
      </c>
    </row>
    <row r="1552" spans="1:4" ht="13.05" customHeight="1" x14ac:dyDescent="0.3">
      <c r="A1552" s="2" t="s">
        <v>239</v>
      </c>
      <c r="B1552" s="2" t="s">
        <v>1033</v>
      </c>
      <c r="C1552" s="5" t="s">
        <v>1040</v>
      </c>
      <c r="D1552" s="2" t="s">
        <v>3048</v>
      </c>
    </row>
    <row r="1553" spans="1:4" ht="13.05" customHeight="1" x14ac:dyDescent="0.3">
      <c r="A1553" s="2" t="s">
        <v>239</v>
      </c>
      <c r="B1553" s="2" t="s">
        <v>1033</v>
      </c>
      <c r="C1553" s="5" t="s">
        <v>1042</v>
      </c>
      <c r="D1553" s="2" t="s">
        <v>3049</v>
      </c>
    </row>
    <row r="1554" spans="1:4" ht="13.05" customHeight="1" x14ac:dyDescent="0.3">
      <c r="A1554" s="2" t="s">
        <v>239</v>
      </c>
      <c r="B1554" s="2" t="s">
        <v>1033</v>
      </c>
      <c r="C1554" s="5" t="s">
        <v>1061</v>
      </c>
      <c r="D1554" s="2" t="s">
        <v>3050</v>
      </c>
    </row>
    <row r="1555" spans="1:4" ht="13.05" customHeight="1" x14ac:dyDescent="0.3">
      <c r="A1555" s="2" t="s">
        <v>239</v>
      </c>
      <c r="B1555" s="2" t="s">
        <v>1033</v>
      </c>
      <c r="C1555" s="5" t="s">
        <v>1063</v>
      </c>
      <c r="D1555" s="2" t="s">
        <v>3051</v>
      </c>
    </row>
    <row r="1556" spans="1:4" ht="13.05" customHeight="1" x14ac:dyDescent="0.3">
      <c r="A1556" s="2" t="s">
        <v>239</v>
      </c>
      <c r="B1556" s="2" t="s">
        <v>1033</v>
      </c>
      <c r="C1556" s="5" t="s">
        <v>1065</v>
      </c>
      <c r="D1556" s="2" t="s">
        <v>3052</v>
      </c>
    </row>
    <row r="1557" spans="1:4" ht="13.05" customHeight="1" x14ac:dyDescent="0.3">
      <c r="A1557" s="2" t="s">
        <v>242</v>
      </c>
      <c r="B1557" s="2" t="s">
        <v>1033</v>
      </c>
      <c r="C1557" s="5" t="s">
        <v>1015</v>
      </c>
      <c r="D1557" s="2" t="s">
        <v>3053</v>
      </c>
    </row>
    <row r="1558" spans="1:4" ht="13.05" customHeight="1" x14ac:dyDescent="0.3">
      <c r="A1558" s="2" t="s">
        <v>242</v>
      </c>
      <c r="B1558" s="2" t="s">
        <v>1033</v>
      </c>
      <c r="C1558" s="5" t="s">
        <v>1017</v>
      </c>
      <c r="D1558" s="2" t="s">
        <v>3054</v>
      </c>
    </row>
    <row r="1559" spans="1:4" ht="13.05" customHeight="1" x14ac:dyDescent="0.3">
      <c r="A1559" s="2" t="s">
        <v>242</v>
      </c>
      <c r="B1559" s="2" t="s">
        <v>1033</v>
      </c>
      <c r="C1559" s="5" t="s">
        <v>1021</v>
      </c>
      <c r="D1559" s="2" t="s">
        <v>1106</v>
      </c>
    </row>
    <row r="1560" spans="1:4" ht="13.05" customHeight="1" x14ac:dyDescent="0.3">
      <c r="A1560" s="2" t="s">
        <v>242</v>
      </c>
      <c r="B1560" s="2" t="s">
        <v>1033</v>
      </c>
      <c r="C1560" s="5" t="s">
        <v>1023</v>
      </c>
      <c r="D1560" s="2" t="s">
        <v>1107</v>
      </c>
    </row>
    <row r="1561" spans="1:4" ht="13.05" customHeight="1" x14ac:dyDescent="0.3">
      <c r="A1561" s="2" t="s">
        <v>244</v>
      </c>
      <c r="B1561" s="2" t="s">
        <v>1199</v>
      </c>
      <c r="C1561" s="5" t="s">
        <v>1021</v>
      </c>
      <c r="D1561" s="2" t="s">
        <v>1106</v>
      </c>
    </row>
    <row r="1562" spans="1:4" ht="13.05" customHeight="1" x14ac:dyDescent="0.3">
      <c r="A1562" s="2" t="s">
        <v>244</v>
      </c>
      <c r="B1562" s="2" t="s">
        <v>1199</v>
      </c>
      <c r="C1562" s="5" t="s">
        <v>1023</v>
      </c>
      <c r="D1562" s="2" t="s">
        <v>1107</v>
      </c>
    </row>
    <row r="1563" spans="1:4" ht="13.05" customHeight="1" x14ac:dyDescent="0.3">
      <c r="A1563" s="2" t="s">
        <v>246</v>
      </c>
      <c r="B1563" s="2" t="s">
        <v>1199</v>
      </c>
      <c r="C1563" s="5" t="s">
        <v>1044</v>
      </c>
      <c r="D1563" s="2" t="s">
        <v>1045</v>
      </c>
    </row>
    <row r="1564" spans="1:4" ht="13.05" customHeight="1" x14ac:dyDescent="0.3">
      <c r="A1564" s="2" t="s">
        <v>248</v>
      </c>
      <c r="B1564" s="2" t="s">
        <v>1033</v>
      </c>
      <c r="C1564" s="5" t="s">
        <v>1044</v>
      </c>
      <c r="D1564" s="2" t="s">
        <v>1045</v>
      </c>
    </row>
    <row r="1565" spans="1:4" ht="13.05" customHeight="1" x14ac:dyDescent="0.3">
      <c r="A1565" s="2" t="s">
        <v>248</v>
      </c>
      <c r="B1565" s="2" t="s">
        <v>1033</v>
      </c>
      <c r="C1565" s="5" t="s">
        <v>1015</v>
      </c>
      <c r="D1565" s="2" t="s">
        <v>3055</v>
      </c>
    </row>
    <row r="1566" spans="1:4" ht="13.05" customHeight="1" x14ac:dyDescent="0.3">
      <c r="A1566" s="2" t="s">
        <v>248</v>
      </c>
      <c r="B1566" s="2" t="s">
        <v>1033</v>
      </c>
      <c r="C1566" s="5" t="s">
        <v>1017</v>
      </c>
      <c r="D1566" s="2" t="s">
        <v>3054</v>
      </c>
    </row>
    <row r="1567" spans="1:4" ht="13.05" customHeight="1" x14ac:dyDescent="0.3">
      <c r="A1567" s="2" t="s">
        <v>248</v>
      </c>
      <c r="B1567" s="2" t="s">
        <v>1033</v>
      </c>
      <c r="C1567" s="5" t="s">
        <v>1021</v>
      </c>
      <c r="D1567" s="2" t="s">
        <v>3056</v>
      </c>
    </row>
    <row r="1568" spans="1:4" ht="13.05" customHeight="1" x14ac:dyDescent="0.3">
      <c r="A1568" s="2" t="s">
        <v>248</v>
      </c>
      <c r="B1568" s="2" t="s">
        <v>1033</v>
      </c>
      <c r="C1568" s="5" t="s">
        <v>1023</v>
      </c>
      <c r="D1568" s="2" t="s">
        <v>3057</v>
      </c>
    </row>
    <row r="1569" spans="1:4" ht="13.05" customHeight="1" x14ac:dyDescent="0.3">
      <c r="A1569" s="2" t="s">
        <v>248</v>
      </c>
      <c r="B1569" s="2" t="s">
        <v>1033</v>
      </c>
      <c r="C1569" s="5" t="s">
        <v>1025</v>
      </c>
      <c r="D1569" s="2" t="s">
        <v>3058</v>
      </c>
    </row>
    <row r="1570" spans="1:4" ht="13.05" customHeight="1" x14ac:dyDescent="0.3">
      <c r="A1570" s="2" t="s">
        <v>248</v>
      </c>
      <c r="B1570" s="2" t="s">
        <v>1033</v>
      </c>
      <c r="C1570" s="5" t="s">
        <v>1027</v>
      </c>
      <c r="D1570" s="2" t="s">
        <v>3059</v>
      </c>
    </row>
    <row r="1571" spans="1:4" ht="13.05" customHeight="1" x14ac:dyDescent="0.3">
      <c r="A1571" s="2" t="s">
        <v>248</v>
      </c>
      <c r="B1571" s="2" t="s">
        <v>1033</v>
      </c>
      <c r="C1571" s="5" t="s">
        <v>1029</v>
      </c>
      <c r="D1571" s="2" t="s">
        <v>3060</v>
      </c>
    </row>
    <row r="1572" spans="1:4" ht="13.05" customHeight="1" x14ac:dyDescent="0.3">
      <c r="A1572" s="2" t="s">
        <v>248</v>
      </c>
      <c r="B1572" s="2" t="s">
        <v>1033</v>
      </c>
      <c r="C1572" s="5" t="s">
        <v>1031</v>
      </c>
      <c r="D1572" s="2" t="s">
        <v>3061</v>
      </c>
    </row>
    <row r="1573" spans="1:4" ht="13.05" customHeight="1" x14ac:dyDescent="0.3">
      <c r="A1573" s="2" t="s">
        <v>248</v>
      </c>
      <c r="B1573" s="2" t="s">
        <v>1033</v>
      </c>
      <c r="C1573" s="5" t="s">
        <v>1052</v>
      </c>
      <c r="D1573" s="2" t="s">
        <v>3062</v>
      </c>
    </row>
    <row r="1574" spans="1:4" ht="13.05" customHeight="1" x14ac:dyDescent="0.3">
      <c r="A1574" s="2" t="s">
        <v>252</v>
      </c>
      <c r="B1574" s="2" t="s">
        <v>1033</v>
      </c>
      <c r="C1574" s="5" t="s">
        <v>1044</v>
      </c>
      <c r="D1574" s="2" t="s">
        <v>1045</v>
      </c>
    </row>
    <row r="1575" spans="1:4" ht="13.05" customHeight="1" x14ac:dyDescent="0.3">
      <c r="A1575" s="2" t="s">
        <v>252</v>
      </c>
      <c r="B1575" s="2" t="s">
        <v>1033</v>
      </c>
      <c r="C1575" s="5" t="s">
        <v>1021</v>
      </c>
      <c r="D1575" s="2" t="s">
        <v>3063</v>
      </c>
    </row>
    <row r="1576" spans="1:4" ht="13.05" customHeight="1" x14ac:dyDescent="0.3">
      <c r="A1576" s="2" t="s">
        <v>252</v>
      </c>
      <c r="B1576" s="2" t="s">
        <v>1033</v>
      </c>
      <c r="C1576" s="5" t="s">
        <v>1023</v>
      </c>
      <c r="D1576" s="2" t="s">
        <v>3064</v>
      </c>
    </row>
    <row r="1577" spans="1:4" ht="13.05" customHeight="1" x14ac:dyDescent="0.3">
      <c r="A1577" s="2" t="s">
        <v>252</v>
      </c>
      <c r="B1577" s="2" t="s">
        <v>1033</v>
      </c>
      <c r="C1577" s="5" t="s">
        <v>1025</v>
      </c>
      <c r="D1577" s="2" t="s">
        <v>3065</v>
      </c>
    </row>
    <row r="1578" spans="1:4" ht="13.05" customHeight="1" x14ac:dyDescent="0.3">
      <c r="A1578" s="2" t="s">
        <v>252</v>
      </c>
      <c r="B1578" s="2" t="s">
        <v>1033</v>
      </c>
      <c r="C1578" s="5" t="s">
        <v>1027</v>
      </c>
      <c r="D1578" s="2" t="s">
        <v>3066</v>
      </c>
    </row>
    <row r="1579" spans="1:4" ht="13.05" customHeight="1" x14ac:dyDescent="0.3">
      <c r="A1579" s="2" t="s">
        <v>252</v>
      </c>
      <c r="B1579" s="2" t="s">
        <v>1033</v>
      </c>
      <c r="C1579" s="5" t="s">
        <v>1029</v>
      </c>
      <c r="D1579" s="2" t="s">
        <v>3067</v>
      </c>
    </row>
    <row r="1580" spans="1:4" ht="13.05" customHeight="1" x14ac:dyDescent="0.3">
      <c r="A1580" s="2" t="s">
        <v>252</v>
      </c>
      <c r="B1580" s="2" t="s">
        <v>1033</v>
      </c>
      <c r="C1580" s="5" t="s">
        <v>1031</v>
      </c>
      <c r="D1580" s="2" t="s">
        <v>3068</v>
      </c>
    </row>
    <row r="1581" spans="1:4" ht="13.05" customHeight="1" x14ac:dyDescent="0.3">
      <c r="A1581" s="2" t="s">
        <v>252</v>
      </c>
      <c r="B1581" s="2" t="s">
        <v>1033</v>
      </c>
      <c r="C1581" s="5" t="s">
        <v>1040</v>
      </c>
      <c r="D1581" s="2" t="s">
        <v>3069</v>
      </c>
    </row>
    <row r="1582" spans="1:4" ht="13.05" customHeight="1" x14ac:dyDescent="0.3">
      <c r="A1582" s="2" t="s">
        <v>252</v>
      </c>
      <c r="B1582" s="2" t="s">
        <v>1033</v>
      </c>
      <c r="C1582" s="5" t="s">
        <v>1042</v>
      </c>
      <c r="D1582" s="2" t="s">
        <v>3070</v>
      </c>
    </row>
    <row r="1583" spans="1:4" ht="13.05" customHeight="1" x14ac:dyDescent="0.3">
      <c r="A1583" s="2" t="s">
        <v>252</v>
      </c>
      <c r="B1583" s="2" t="s">
        <v>1033</v>
      </c>
      <c r="C1583" s="5" t="s">
        <v>1061</v>
      </c>
      <c r="D1583" s="2" t="s">
        <v>3071</v>
      </c>
    </row>
    <row r="1584" spans="1:4" ht="13.05" customHeight="1" x14ac:dyDescent="0.3">
      <c r="A1584" s="2" t="s">
        <v>252</v>
      </c>
      <c r="B1584" s="2" t="s">
        <v>1033</v>
      </c>
      <c r="C1584" s="5" t="s">
        <v>1063</v>
      </c>
      <c r="D1584" s="2" t="s">
        <v>3072</v>
      </c>
    </row>
    <row r="1585" spans="1:4" ht="13.05" customHeight="1" x14ac:dyDescent="0.3">
      <c r="A1585" s="2" t="s">
        <v>252</v>
      </c>
      <c r="B1585" s="2" t="s">
        <v>1033</v>
      </c>
      <c r="C1585" s="5" t="s">
        <v>1065</v>
      </c>
      <c r="D1585" s="2" t="s">
        <v>3073</v>
      </c>
    </row>
    <row r="1586" spans="1:4" ht="13.05" customHeight="1" x14ac:dyDescent="0.3">
      <c r="A1586" s="2" t="s">
        <v>252</v>
      </c>
      <c r="B1586" s="2" t="s">
        <v>1033</v>
      </c>
      <c r="C1586" s="5" t="s">
        <v>1067</v>
      </c>
      <c r="D1586" s="2" t="s">
        <v>3074</v>
      </c>
    </row>
    <row r="1587" spans="1:4" ht="13.05" customHeight="1" x14ac:dyDescent="0.3">
      <c r="A1587" s="2" t="s">
        <v>252</v>
      </c>
      <c r="B1587" s="2" t="s">
        <v>1033</v>
      </c>
      <c r="C1587" s="5" t="s">
        <v>1069</v>
      </c>
      <c r="D1587" s="2" t="s">
        <v>3075</v>
      </c>
    </row>
    <row r="1588" spans="1:4" ht="13.05" customHeight="1" x14ac:dyDescent="0.3">
      <c r="A1588" s="2" t="s">
        <v>252</v>
      </c>
      <c r="B1588" s="2" t="s">
        <v>1033</v>
      </c>
      <c r="C1588" s="5" t="s">
        <v>1071</v>
      </c>
      <c r="D1588" s="2" t="s">
        <v>3076</v>
      </c>
    </row>
    <row r="1589" spans="1:4" ht="13.05" customHeight="1" x14ac:dyDescent="0.3">
      <c r="A1589" s="2" t="s">
        <v>252</v>
      </c>
      <c r="B1589" s="2" t="s">
        <v>1033</v>
      </c>
      <c r="C1589" s="5" t="s">
        <v>1073</v>
      </c>
      <c r="D1589" s="2" t="s">
        <v>3077</v>
      </c>
    </row>
    <row r="1590" spans="1:4" ht="13.05" customHeight="1" x14ac:dyDescent="0.3">
      <c r="A1590" s="2" t="s">
        <v>260</v>
      </c>
      <c r="B1590" s="2" t="s">
        <v>1033</v>
      </c>
      <c r="C1590" s="5" t="s">
        <v>1021</v>
      </c>
      <c r="D1590" s="2" t="s">
        <v>3078</v>
      </c>
    </row>
    <row r="1591" spans="1:4" ht="13.05" customHeight="1" x14ac:dyDescent="0.3">
      <c r="A1591" s="2" t="s">
        <v>260</v>
      </c>
      <c r="B1591" s="2" t="s">
        <v>1033</v>
      </c>
      <c r="C1591" s="5" t="s">
        <v>1023</v>
      </c>
      <c r="D1591" s="2" t="s">
        <v>3079</v>
      </c>
    </row>
    <row r="1592" spans="1:4" ht="13.05" customHeight="1" x14ac:dyDescent="0.3">
      <c r="A1592" s="2" t="s">
        <v>260</v>
      </c>
      <c r="B1592" s="2" t="s">
        <v>1033</v>
      </c>
      <c r="C1592" s="5" t="s">
        <v>1027</v>
      </c>
      <c r="D1592" s="2" t="s">
        <v>3080</v>
      </c>
    </row>
    <row r="1593" spans="1:4" ht="13.05" customHeight="1" x14ac:dyDescent="0.3">
      <c r="A1593" s="2" t="s">
        <v>260</v>
      </c>
      <c r="B1593" s="2" t="s">
        <v>1033</v>
      </c>
      <c r="C1593" s="5" t="s">
        <v>1029</v>
      </c>
      <c r="D1593" s="2" t="s">
        <v>3081</v>
      </c>
    </row>
    <row r="1594" spans="1:4" ht="13.05" customHeight="1" x14ac:dyDescent="0.3">
      <c r="A1594" s="2" t="s">
        <v>260</v>
      </c>
      <c r="B1594" s="2" t="s">
        <v>1033</v>
      </c>
      <c r="C1594" s="5" t="s">
        <v>1031</v>
      </c>
      <c r="D1594" s="2" t="s">
        <v>3082</v>
      </c>
    </row>
    <row r="1595" spans="1:4" ht="13.05" customHeight="1" x14ac:dyDescent="0.3">
      <c r="A1595" s="2" t="s">
        <v>260</v>
      </c>
      <c r="B1595" s="2" t="s">
        <v>1033</v>
      </c>
      <c r="C1595" s="5" t="s">
        <v>1042</v>
      </c>
      <c r="D1595" s="2" t="s">
        <v>3083</v>
      </c>
    </row>
    <row r="1596" spans="1:4" ht="13.05" customHeight="1" x14ac:dyDescent="0.3">
      <c r="A1596" s="2" t="s">
        <v>260</v>
      </c>
      <c r="B1596" s="2" t="s">
        <v>1033</v>
      </c>
      <c r="C1596" s="5" t="s">
        <v>1061</v>
      </c>
      <c r="D1596" s="2" t="s">
        <v>3084</v>
      </c>
    </row>
    <row r="1597" spans="1:4" ht="13.05" customHeight="1" x14ac:dyDescent="0.3">
      <c r="A1597" s="2" t="s">
        <v>260</v>
      </c>
      <c r="B1597" s="2" t="s">
        <v>1033</v>
      </c>
      <c r="C1597" s="5" t="s">
        <v>1063</v>
      </c>
      <c r="D1597" s="2" t="s">
        <v>3085</v>
      </c>
    </row>
    <row r="1598" spans="1:4" ht="13.05" customHeight="1" x14ac:dyDescent="0.3">
      <c r="A1598" s="2" t="s">
        <v>260</v>
      </c>
      <c r="B1598" s="2" t="s">
        <v>1033</v>
      </c>
      <c r="C1598" s="5" t="s">
        <v>1065</v>
      </c>
      <c r="D1598" s="2" t="s">
        <v>3086</v>
      </c>
    </row>
    <row r="1599" spans="1:4" ht="13.05" customHeight="1" x14ac:dyDescent="0.3">
      <c r="A1599" s="2" t="s">
        <v>260</v>
      </c>
      <c r="B1599" s="2" t="s">
        <v>1033</v>
      </c>
      <c r="C1599" s="5" t="s">
        <v>1067</v>
      </c>
      <c r="D1599" s="2" t="s">
        <v>3087</v>
      </c>
    </row>
    <row r="1600" spans="1:4" ht="13.05" customHeight="1" x14ac:dyDescent="0.3">
      <c r="A1600" s="2" t="s">
        <v>260</v>
      </c>
      <c r="B1600" s="2" t="s">
        <v>1033</v>
      </c>
      <c r="C1600" s="5" t="s">
        <v>1069</v>
      </c>
      <c r="D1600" s="2" t="s">
        <v>3088</v>
      </c>
    </row>
    <row r="1601" spans="1:4" ht="13.05" customHeight="1" x14ac:dyDescent="0.3">
      <c r="A1601" s="2" t="s">
        <v>260</v>
      </c>
      <c r="B1601" s="2" t="s">
        <v>1033</v>
      </c>
      <c r="C1601" s="5" t="s">
        <v>1073</v>
      </c>
      <c r="D1601" s="2" t="s">
        <v>3089</v>
      </c>
    </row>
    <row r="1602" spans="1:4" ht="13.05" customHeight="1" x14ac:dyDescent="0.3">
      <c r="A1602" s="2" t="s">
        <v>260</v>
      </c>
      <c r="B1602" s="2" t="s">
        <v>1033</v>
      </c>
      <c r="C1602" s="5" t="s">
        <v>1075</v>
      </c>
      <c r="D1602" s="2" t="s">
        <v>3090</v>
      </c>
    </row>
    <row r="1603" spans="1:4" ht="13.05" customHeight="1" x14ac:dyDescent="0.3">
      <c r="A1603" s="2" t="s">
        <v>260</v>
      </c>
      <c r="B1603" s="2" t="s">
        <v>1033</v>
      </c>
      <c r="C1603" s="5" t="s">
        <v>1077</v>
      </c>
      <c r="D1603" s="2" t="s">
        <v>3091</v>
      </c>
    </row>
    <row r="1604" spans="1:4" ht="13.05" customHeight="1" x14ac:dyDescent="0.3">
      <c r="A1604" s="2" t="s">
        <v>260</v>
      </c>
      <c r="B1604" s="2" t="s">
        <v>1033</v>
      </c>
      <c r="C1604" s="5" t="s">
        <v>1079</v>
      </c>
      <c r="D1604" s="2" t="s">
        <v>3092</v>
      </c>
    </row>
    <row r="1605" spans="1:4" ht="13.05" customHeight="1" x14ac:dyDescent="0.3">
      <c r="A1605" s="2" t="s">
        <v>260</v>
      </c>
      <c r="B1605" s="2" t="s">
        <v>1033</v>
      </c>
      <c r="C1605" s="5" t="s">
        <v>1081</v>
      </c>
      <c r="D1605" s="2" t="s">
        <v>3093</v>
      </c>
    </row>
    <row r="1606" spans="1:4" ht="13.05" customHeight="1" x14ac:dyDescent="0.3">
      <c r="A1606" s="2" t="s">
        <v>260</v>
      </c>
      <c r="B1606" s="2" t="s">
        <v>1033</v>
      </c>
      <c r="C1606" s="5" t="s">
        <v>1222</v>
      </c>
      <c r="D1606" s="2" t="s">
        <v>3094</v>
      </c>
    </row>
    <row r="1607" spans="1:4" ht="13.05" customHeight="1" x14ac:dyDescent="0.3">
      <c r="A1607" s="2" t="s">
        <v>260</v>
      </c>
      <c r="B1607" s="2" t="s">
        <v>1033</v>
      </c>
      <c r="C1607" s="5" t="s">
        <v>1114</v>
      </c>
      <c r="D1607" s="2" t="s">
        <v>3095</v>
      </c>
    </row>
    <row r="1608" spans="1:4" ht="13.05" customHeight="1" x14ac:dyDescent="0.3">
      <c r="A1608" s="2" t="s">
        <v>260</v>
      </c>
      <c r="B1608" s="2" t="s">
        <v>1033</v>
      </c>
      <c r="C1608" s="5" t="s">
        <v>1116</v>
      </c>
      <c r="D1608" s="2" t="s">
        <v>3096</v>
      </c>
    </row>
    <row r="1609" spans="1:4" ht="13.05" customHeight="1" x14ac:dyDescent="0.3">
      <c r="A1609" s="2" t="s">
        <v>260</v>
      </c>
      <c r="B1609" s="2" t="s">
        <v>1033</v>
      </c>
      <c r="C1609" s="5" t="s">
        <v>1118</v>
      </c>
      <c r="D1609" s="2" t="s">
        <v>3097</v>
      </c>
    </row>
    <row r="1610" spans="1:4" ht="13.05" customHeight="1" x14ac:dyDescent="0.3">
      <c r="A1610" s="2" t="s">
        <v>260</v>
      </c>
      <c r="B1610" s="2" t="s">
        <v>1033</v>
      </c>
      <c r="C1610" s="5" t="s">
        <v>1120</v>
      </c>
      <c r="D1610" s="2" t="s">
        <v>3098</v>
      </c>
    </row>
    <row r="1611" spans="1:4" ht="13.05" customHeight="1" x14ac:dyDescent="0.3">
      <c r="A1611" s="2" t="s">
        <v>260</v>
      </c>
      <c r="B1611" s="2" t="s">
        <v>1033</v>
      </c>
      <c r="C1611" s="5" t="s">
        <v>3099</v>
      </c>
      <c r="D1611" s="2" t="s">
        <v>3100</v>
      </c>
    </row>
    <row r="1612" spans="1:4" ht="13.05" customHeight="1" x14ac:dyDescent="0.3">
      <c r="A1612" s="2" t="s">
        <v>260</v>
      </c>
      <c r="B1612" s="2" t="s">
        <v>1033</v>
      </c>
      <c r="C1612" s="5" t="s">
        <v>3101</v>
      </c>
      <c r="D1612" s="2" t="s">
        <v>3102</v>
      </c>
    </row>
    <row r="1613" spans="1:4" ht="13.05" customHeight="1" x14ac:dyDescent="0.3">
      <c r="A1613" s="2" t="s">
        <v>260</v>
      </c>
      <c r="B1613" s="2" t="s">
        <v>1033</v>
      </c>
      <c r="C1613" s="5" t="s">
        <v>3103</v>
      </c>
      <c r="D1613" s="2" t="s">
        <v>3104</v>
      </c>
    </row>
    <row r="1614" spans="1:4" ht="13.05" customHeight="1" x14ac:dyDescent="0.3">
      <c r="A1614" s="2" t="s">
        <v>260</v>
      </c>
      <c r="B1614" s="2" t="s">
        <v>1033</v>
      </c>
      <c r="C1614" s="5" t="s">
        <v>3105</v>
      </c>
      <c r="D1614" s="2" t="s">
        <v>3106</v>
      </c>
    </row>
    <row r="1615" spans="1:4" ht="13.05" customHeight="1" x14ac:dyDescent="0.3">
      <c r="A1615" s="2" t="s">
        <v>260</v>
      </c>
      <c r="B1615" s="2" t="s">
        <v>1033</v>
      </c>
      <c r="C1615" s="5" t="s">
        <v>3107</v>
      </c>
      <c r="D1615" s="2" t="s">
        <v>3108</v>
      </c>
    </row>
    <row r="1616" spans="1:4" ht="13.05" customHeight="1" x14ac:dyDescent="0.3">
      <c r="A1616" s="2" t="s">
        <v>260</v>
      </c>
      <c r="B1616" s="2" t="s">
        <v>1033</v>
      </c>
      <c r="C1616" s="5" t="s">
        <v>1224</v>
      </c>
      <c r="D1616" s="2" t="s">
        <v>3109</v>
      </c>
    </row>
    <row r="1617" spans="1:4" ht="13.05" customHeight="1" x14ac:dyDescent="0.3">
      <c r="A1617" s="2" t="s">
        <v>260</v>
      </c>
      <c r="B1617" s="2" t="s">
        <v>1033</v>
      </c>
      <c r="C1617" s="5" t="s">
        <v>1122</v>
      </c>
      <c r="D1617" s="2" t="s">
        <v>3110</v>
      </c>
    </row>
    <row r="1618" spans="1:4" ht="13.05" customHeight="1" x14ac:dyDescent="0.3">
      <c r="A1618" s="2" t="s">
        <v>260</v>
      </c>
      <c r="B1618" s="2" t="s">
        <v>1033</v>
      </c>
      <c r="C1618" s="5" t="s">
        <v>1124</v>
      </c>
      <c r="D1618" s="2" t="s">
        <v>3111</v>
      </c>
    </row>
    <row r="1619" spans="1:4" ht="13.05" customHeight="1" x14ac:dyDescent="0.3">
      <c r="A1619" s="2" t="s">
        <v>260</v>
      </c>
      <c r="B1619" s="2" t="s">
        <v>1033</v>
      </c>
      <c r="C1619" s="5" t="s">
        <v>1126</v>
      </c>
      <c r="D1619" s="2" t="s">
        <v>3112</v>
      </c>
    </row>
    <row r="1620" spans="1:4" ht="13.05" customHeight="1" x14ac:dyDescent="0.3">
      <c r="A1620" s="2" t="s">
        <v>260</v>
      </c>
      <c r="B1620" s="2" t="s">
        <v>1033</v>
      </c>
      <c r="C1620" s="5" t="s">
        <v>1128</v>
      </c>
      <c r="D1620" s="2" t="s">
        <v>3113</v>
      </c>
    </row>
    <row r="1621" spans="1:4" ht="13.05" customHeight="1" x14ac:dyDescent="0.3">
      <c r="A1621" s="2" t="s">
        <v>260</v>
      </c>
      <c r="B1621" s="2" t="s">
        <v>1033</v>
      </c>
      <c r="C1621" s="5" t="s">
        <v>3114</v>
      </c>
      <c r="D1621" s="2" t="s">
        <v>3115</v>
      </c>
    </row>
    <row r="1622" spans="1:4" ht="13.05" customHeight="1" x14ac:dyDescent="0.3">
      <c r="A1622" s="2" t="s">
        <v>260</v>
      </c>
      <c r="B1622" s="2" t="s">
        <v>1033</v>
      </c>
      <c r="C1622" s="5" t="s">
        <v>3116</v>
      </c>
      <c r="D1622" s="2" t="s">
        <v>3117</v>
      </c>
    </row>
    <row r="1623" spans="1:4" ht="13.05" customHeight="1" x14ac:dyDescent="0.3">
      <c r="A1623" s="2" t="s">
        <v>260</v>
      </c>
      <c r="B1623" s="2" t="s">
        <v>1033</v>
      </c>
      <c r="C1623" s="5" t="s">
        <v>3118</v>
      </c>
      <c r="D1623" s="2" t="s">
        <v>3119</v>
      </c>
    </row>
    <row r="1624" spans="1:4" ht="13.05" customHeight="1" x14ac:dyDescent="0.3">
      <c r="A1624" s="2" t="s">
        <v>260</v>
      </c>
      <c r="B1624" s="2" t="s">
        <v>1033</v>
      </c>
      <c r="C1624" s="5" t="s">
        <v>3120</v>
      </c>
      <c r="D1624" s="2" t="s">
        <v>3121</v>
      </c>
    </row>
    <row r="1625" spans="1:4" ht="13.05" customHeight="1" x14ac:dyDescent="0.3">
      <c r="A1625" s="2" t="s">
        <v>260</v>
      </c>
      <c r="B1625" s="2" t="s">
        <v>1033</v>
      </c>
      <c r="C1625" s="5" t="s">
        <v>3122</v>
      </c>
      <c r="D1625" s="2" t="s">
        <v>3123</v>
      </c>
    </row>
    <row r="1626" spans="1:4" ht="13.05" customHeight="1" x14ac:dyDescent="0.3">
      <c r="A1626" s="2" t="s">
        <v>260</v>
      </c>
      <c r="B1626" s="2" t="s">
        <v>1033</v>
      </c>
      <c r="C1626" s="5" t="s">
        <v>1226</v>
      </c>
      <c r="D1626" s="2" t="s">
        <v>3124</v>
      </c>
    </row>
    <row r="1627" spans="1:4" ht="13.05" customHeight="1" x14ac:dyDescent="0.3">
      <c r="A1627" s="2" t="s">
        <v>260</v>
      </c>
      <c r="B1627" s="2" t="s">
        <v>1033</v>
      </c>
      <c r="C1627" s="5" t="s">
        <v>1130</v>
      </c>
      <c r="D1627" s="2" t="s">
        <v>3125</v>
      </c>
    </row>
    <row r="1628" spans="1:4" ht="13.05" customHeight="1" x14ac:dyDescent="0.3">
      <c r="A1628" s="2" t="s">
        <v>260</v>
      </c>
      <c r="B1628" s="2" t="s">
        <v>1033</v>
      </c>
      <c r="C1628" s="5" t="s">
        <v>1132</v>
      </c>
      <c r="D1628" s="2" t="s">
        <v>3126</v>
      </c>
    </row>
    <row r="1629" spans="1:4" ht="13.05" customHeight="1" x14ac:dyDescent="0.3">
      <c r="A1629" s="2" t="s">
        <v>260</v>
      </c>
      <c r="B1629" s="2" t="s">
        <v>1033</v>
      </c>
      <c r="C1629" s="5" t="s">
        <v>1136</v>
      </c>
      <c r="D1629" s="2" t="s">
        <v>3127</v>
      </c>
    </row>
    <row r="1630" spans="1:4" ht="13.05" customHeight="1" x14ac:dyDescent="0.3">
      <c r="A1630" s="2" t="s">
        <v>260</v>
      </c>
      <c r="B1630" s="2" t="s">
        <v>1033</v>
      </c>
      <c r="C1630" s="5" t="s">
        <v>3128</v>
      </c>
      <c r="D1630" s="2" t="s">
        <v>3129</v>
      </c>
    </row>
    <row r="1631" spans="1:4" ht="13.05" customHeight="1" x14ac:dyDescent="0.3">
      <c r="A1631" s="2" t="s">
        <v>260</v>
      </c>
      <c r="B1631" s="2" t="s">
        <v>1033</v>
      </c>
      <c r="C1631" s="5" t="s">
        <v>3130</v>
      </c>
      <c r="D1631" s="2" t="s">
        <v>3131</v>
      </c>
    </row>
    <row r="1632" spans="1:4" ht="13.05" customHeight="1" x14ac:dyDescent="0.3">
      <c r="A1632" s="2" t="s">
        <v>260</v>
      </c>
      <c r="B1632" s="2" t="s">
        <v>1033</v>
      </c>
      <c r="C1632" s="5" t="s">
        <v>3132</v>
      </c>
      <c r="D1632" s="2" t="s">
        <v>3133</v>
      </c>
    </row>
    <row r="1633" spans="1:4" ht="13.05" customHeight="1" x14ac:dyDescent="0.3">
      <c r="A1633" s="2" t="s">
        <v>260</v>
      </c>
      <c r="B1633" s="2" t="s">
        <v>1033</v>
      </c>
      <c r="C1633" s="5" t="s">
        <v>3134</v>
      </c>
      <c r="D1633" s="2" t="s">
        <v>3135</v>
      </c>
    </row>
    <row r="1634" spans="1:4" ht="13.05" customHeight="1" x14ac:dyDescent="0.3">
      <c r="A1634" s="2" t="s">
        <v>260</v>
      </c>
      <c r="B1634" s="2" t="s">
        <v>1033</v>
      </c>
      <c r="C1634" s="5" t="s">
        <v>3136</v>
      </c>
      <c r="D1634" s="2" t="s">
        <v>3137</v>
      </c>
    </row>
    <row r="1635" spans="1:4" ht="13.05" customHeight="1" x14ac:dyDescent="0.3">
      <c r="A1635" s="2" t="s">
        <v>260</v>
      </c>
      <c r="B1635" s="2" t="s">
        <v>1033</v>
      </c>
      <c r="C1635" s="5" t="s">
        <v>1228</v>
      </c>
      <c r="D1635" s="2" t="s">
        <v>3138</v>
      </c>
    </row>
    <row r="1636" spans="1:4" ht="13.05" customHeight="1" x14ac:dyDescent="0.3">
      <c r="A1636" s="2" t="s">
        <v>260</v>
      </c>
      <c r="B1636" s="2" t="s">
        <v>1033</v>
      </c>
      <c r="C1636" s="5" t="s">
        <v>1138</v>
      </c>
      <c r="D1636" s="2" t="s">
        <v>3139</v>
      </c>
    </row>
    <row r="1637" spans="1:4" ht="13.05" customHeight="1" x14ac:dyDescent="0.3">
      <c r="A1637" s="2" t="s">
        <v>260</v>
      </c>
      <c r="B1637" s="2" t="s">
        <v>1033</v>
      </c>
      <c r="C1637" s="5" t="s">
        <v>1142</v>
      </c>
      <c r="D1637" s="2" t="s">
        <v>3140</v>
      </c>
    </row>
    <row r="1638" spans="1:4" ht="13.05" customHeight="1" x14ac:dyDescent="0.3">
      <c r="A1638" s="2" t="s">
        <v>260</v>
      </c>
      <c r="B1638" s="2" t="s">
        <v>1033</v>
      </c>
      <c r="C1638" s="5" t="s">
        <v>1144</v>
      </c>
      <c r="D1638" s="2" t="s">
        <v>3141</v>
      </c>
    </row>
    <row r="1639" spans="1:4" ht="13.05" customHeight="1" x14ac:dyDescent="0.3">
      <c r="A1639" s="2" t="s">
        <v>260</v>
      </c>
      <c r="B1639" s="2" t="s">
        <v>1033</v>
      </c>
      <c r="C1639" s="5" t="s">
        <v>3142</v>
      </c>
      <c r="D1639" s="2" t="s">
        <v>3143</v>
      </c>
    </row>
    <row r="1640" spans="1:4" ht="13.05" customHeight="1" x14ac:dyDescent="0.3">
      <c r="A1640" s="2" t="s">
        <v>260</v>
      </c>
      <c r="B1640" s="2" t="s">
        <v>1033</v>
      </c>
      <c r="C1640" s="5" t="s">
        <v>3144</v>
      </c>
      <c r="D1640" s="2" t="s">
        <v>3145</v>
      </c>
    </row>
    <row r="1641" spans="1:4" ht="13.05" customHeight="1" x14ac:dyDescent="0.3">
      <c r="A1641" s="2" t="s">
        <v>265</v>
      </c>
      <c r="B1641" s="2" t="s">
        <v>1033</v>
      </c>
      <c r="C1641" s="5" t="s">
        <v>1015</v>
      </c>
      <c r="D1641" s="2" t="s">
        <v>1016</v>
      </c>
    </row>
    <row r="1642" spans="1:4" ht="13.05" customHeight="1" x14ac:dyDescent="0.3">
      <c r="A1642" s="2" t="s">
        <v>265</v>
      </c>
      <c r="B1642" s="2" t="s">
        <v>1033</v>
      </c>
      <c r="C1642" s="5" t="s">
        <v>1017</v>
      </c>
      <c r="D1642" s="2" t="s">
        <v>1018</v>
      </c>
    </row>
    <row r="1643" spans="1:4" ht="13.05" customHeight="1" x14ac:dyDescent="0.3">
      <c r="A1643" s="2" t="s">
        <v>265</v>
      </c>
      <c r="B1643" s="2" t="s">
        <v>1033</v>
      </c>
      <c r="C1643" s="5" t="s">
        <v>1019</v>
      </c>
      <c r="D1643" s="2" t="s">
        <v>1020</v>
      </c>
    </row>
    <row r="1644" spans="1:4" ht="13.05" customHeight="1" x14ac:dyDescent="0.3">
      <c r="A1644" s="2" t="s">
        <v>265</v>
      </c>
      <c r="B1644" s="2" t="s">
        <v>1033</v>
      </c>
      <c r="C1644" s="5" t="s">
        <v>1021</v>
      </c>
      <c r="D1644" s="2" t="s">
        <v>3146</v>
      </c>
    </row>
    <row r="1645" spans="1:4" ht="13.05" customHeight="1" x14ac:dyDescent="0.3">
      <c r="A1645" s="2" t="s">
        <v>265</v>
      </c>
      <c r="B1645" s="2" t="s">
        <v>1033</v>
      </c>
      <c r="C1645" s="5" t="s">
        <v>1023</v>
      </c>
      <c r="D1645" s="2" t="s">
        <v>3147</v>
      </c>
    </row>
    <row r="1646" spans="1:4" ht="13.05" customHeight="1" x14ac:dyDescent="0.3">
      <c r="A1646" s="2" t="s">
        <v>265</v>
      </c>
      <c r="B1646" s="2" t="s">
        <v>1033</v>
      </c>
      <c r="C1646" s="5" t="s">
        <v>1025</v>
      </c>
      <c r="D1646" s="2" t="s">
        <v>3148</v>
      </c>
    </row>
    <row r="1647" spans="1:4" ht="13.05" customHeight="1" x14ac:dyDescent="0.3">
      <c r="A1647" s="2" t="s">
        <v>265</v>
      </c>
      <c r="B1647" s="2" t="s">
        <v>1033</v>
      </c>
      <c r="C1647" s="5" t="s">
        <v>1027</v>
      </c>
      <c r="D1647" s="2" t="s">
        <v>3149</v>
      </c>
    </row>
    <row r="1648" spans="1:4" ht="13.05" customHeight="1" x14ac:dyDescent="0.3">
      <c r="A1648" s="2" t="s">
        <v>265</v>
      </c>
      <c r="B1648" s="2" t="s">
        <v>1033</v>
      </c>
      <c r="C1648" s="5" t="s">
        <v>1029</v>
      </c>
      <c r="D1648" s="2" t="s">
        <v>3150</v>
      </c>
    </row>
    <row r="1649" spans="1:4" ht="13.05" customHeight="1" x14ac:dyDescent="0.3">
      <c r="A1649" s="2" t="s">
        <v>265</v>
      </c>
      <c r="B1649" s="2" t="s">
        <v>1033</v>
      </c>
      <c r="C1649" s="5" t="s">
        <v>1031</v>
      </c>
      <c r="D1649" s="2" t="s">
        <v>3151</v>
      </c>
    </row>
    <row r="1650" spans="1:4" ht="13.05" customHeight="1" x14ac:dyDescent="0.3">
      <c r="A1650" s="2" t="s">
        <v>265</v>
      </c>
      <c r="B1650" s="2" t="s">
        <v>1033</v>
      </c>
      <c r="C1650" s="5" t="s">
        <v>1040</v>
      </c>
      <c r="D1650" s="2" t="s">
        <v>3152</v>
      </c>
    </row>
    <row r="1651" spans="1:4" ht="13.05" customHeight="1" x14ac:dyDescent="0.3">
      <c r="A1651" s="2" t="s">
        <v>265</v>
      </c>
      <c r="B1651" s="2" t="s">
        <v>1033</v>
      </c>
      <c r="C1651" s="5" t="s">
        <v>1042</v>
      </c>
      <c r="D1651" s="2" t="s">
        <v>3153</v>
      </c>
    </row>
    <row r="1652" spans="1:4" ht="13.05" customHeight="1" x14ac:dyDescent="0.3">
      <c r="A1652" s="2" t="s">
        <v>265</v>
      </c>
      <c r="B1652" s="2" t="s">
        <v>1033</v>
      </c>
      <c r="C1652" s="5" t="s">
        <v>1061</v>
      </c>
      <c r="D1652" s="2" t="s">
        <v>3154</v>
      </c>
    </row>
    <row r="1653" spans="1:4" ht="13.05" customHeight="1" x14ac:dyDescent="0.3">
      <c r="A1653" s="2" t="s">
        <v>265</v>
      </c>
      <c r="B1653" s="2" t="s">
        <v>1033</v>
      </c>
      <c r="C1653" s="5" t="s">
        <v>1063</v>
      </c>
      <c r="D1653" s="2" t="s">
        <v>3155</v>
      </c>
    </row>
    <row r="1654" spans="1:4" ht="13.05" customHeight="1" x14ac:dyDescent="0.3">
      <c r="A1654" s="2" t="s">
        <v>265</v>
      </c>
      <c r="B1654" s="2" t="s">
        <v>1033</v>
      </c>
      <c r="C1654" s="5" t="s">
        <v>1065</v>
      </c>
      <c r="D1654" s="2" t="s">
        <v>3156</v>
      </c>
    </row>
    <row r="1655" spans="1:4" ht="13.05" customHeight="1" x14ac:dyDescent="0.3">
      <c r="A1655" s="2" t="s">
        <v>265</v>
      </c>
      <c r="B1655" s="2" t="s">
        <v>1033</v>
      </c>
      <c r="C1655" s="5" t="s">
        <v>1067</v>
      </c>
      <c r="D1655" s="2" t="s">
        <v>3157</v>
      </c>
    </row>
    <row r="1656" spans="1:4" ht="13.05" customHeight="1" x14ac:dyDescent="0.3">
      <c r="A1656" s="2" t="s">
        <v>269</v>
      </c>
      <c r="B1656" s="2" t="s">
        <v>1033</v>
      </c>
      <c r="C1656" s="5" t="s">
        <v>1015</v>
      </c>
      <c r="D1656" s="2" t="s">
        <v>1016</v>
      </c>
    </row>
    <row r="1657" spans="1:4" ht="13.05" customHeight="1" x14ac:dyDescent="0.3">
      <c r="A1657" s="2" t="s">
        <v>269</v>
      </c>
      <c r="B1657" s="2" t="s">
        <v>1033</v>
      </c>
      <c r="C1657" s="5" t="s">
        <v>1017</v>
      </c>
      <c r="D1657" s="2" t="s">
        <v>1018</v>
      </c>
    </row>
    <row r="1658" spans="1:4" ht="13.05" customHeight="1" x14ac:dyDescent="0.3">
      <c r="A1658" s="2" t="s">
        <v>269</v>
      </c>
      <c r="B1658" s="2" t="s">
        <v>1033</v>
      </c>
      <c r="C1658" s="5" t="s">
        <v>1019</v>
      </c>
      <c r="D1658" s="2" t="s">
        <v>1020</v>
      </c>
    </row>
    <row r="1659" spans="1:4" ht="13.05" customHeight="1" x14ac:dyDescent="0.3">
      <c r="A1659" s="2" t="s">
        <v>269</v>
      </c>
      <c r="B1659" s="2" t="s">
        <v>1033</v>
      </c>
      <c r="C1659" s="5" t="s">
        <v>1021</v>
      </c>
      <c r="D1659" s="2" t="s">
        <v>3146</v>
      </c>
    </row>
    <row r="1660" spans="1:4" ht="13.05" customHeight="1" x14ac:dyDescent="0.3">
      <c r="A1660" s="2" t="s">
        <v>269</v>
      </c>
      <c r="B1660" s="2" t="s">
        <v>1033</v>
      </c>
      <c r="C1660" s="5" t="s">
        <v>1023</v>
      </c>
      <c r="D1660" s="2" t="s">
        <v>3147</v>
      </c>
    </row>
    <row r="1661" spans="1:4" ht="13.05" customHeight="1" x14ac:dyDescent="0.3">
      <c r="A1661" s="2" t="s">
        <v>269</v>
      </c>
      <c r="B1661" s="2" t="s">
        <v>1033</v>
      </c>
      <c r="C1661" s="5" t="s">
        <v>1025</v>
      </c>
      <c r="D1661" s="2" t="s">
        <v>3148</v>
      </c>
    </row>
    <row r="1662" spans="1:4" ht="13.05" customHeight="1" x14ac:dyDescent="0.3">
      <c r="A1662" s="2" t="s">
        <v>269</v>
      </c>
      <c r="B1662" s="2" t="s">
        <v>1033</v>
      </c>
      <c r="C1662" s="5" t="s">
        <v>1027</v>
      </c>
      <c r="D1662" s="2" t="s">
        <v>3149</v>
      </c>
    </row>
    <row r="1663" spans="1:4" ht="13.05" customHeight="1" x14ac:dyDescent="0.3">
      <c r="A1663" s="2" t="s">
        <v>269</v>
      </c>
      <c r="B1663" s="2" t="s">
        <v>1033</v>
      </c>
      <c r="C1663" s="5" t="s">
        <v>1029</v>
      </c>
      <c r="D1663" s="2" t="s">
        <v>3150</v>
      </c>
    </row>
    <row r="1664" spans="1:4" ht="13.05" customHeight="1" x14ac:dyDescent="0.3">
      <c r="A1664" s="2" t="s">
        <v>269</v>
      </c>
      <c r="B1664" s="2" t="s">
        <v>1033</v>
      </c>
      <c r="C1664" s="5" t="s">
        <v>1031</v>
      </c>
      <c r="D1664" s="2" t="s">
        <v>3151</v>
      </c>
    </row>
    <row r="1665" spans="1:4" ht="13.05" customHeight="1" x14ac:dyDescent="0.3">
      <c r="A1665" s="2" t="s">
        <v>269</v>
      </c>
      <c r="B1665" s="2" t="s">
        <v>1033</v>
      </c>
      <c r="C1665" s="5" t="s">
        <v>1040</v>
      </c>
      <c r="D1665" s="2" t="s">
        <v>3152</v>
      </c>
    </row>
    <row r="1666" spans="1:4" ht="13.05" customHeight="1" x14ac:dyDescent="0.3">
      <c r="A1666" s="2" t="s">
        <v>269</v>
      </c>
      <c r="B1666" s="2" t="s">
        <v>1033</v>
      </c>
      <c r="C1666" s="5" t="s">
        <v>1042</v>
      </c>
      <c r="D1666" s="2" t="s">
        <v>3153</v>
      </c>
    </row>
    <row r="1667" spans="1:4" ht="13.05" customHeight="1" x14ac:dyDescent="0.3">
      <c r="A1667" s="2" t="s">
        <v>269</v>
      </c>
      <c r="B1667" s="2" t="s">
        <v>1033</v>
      </c>
      <c r="C1667" s="5" t="s">
        <v>1061</v>
      </c>
      <c r="D1667" s="2" t="s">
        <v>3154</v>
      </c>
    </row>
    <row r="1668" spans="1:4" ht="13.05" customHeight="1" x14ac:dyDescent="0.3">
      <c r="A1668" s="2" t="s">
        <v>269</v>
      </c>
      <c r="B1668" s="2" t="s">
        <v>1033</v>
      </c>
      <c r="C1668" s="5" t="s">
        <v>1063</v>
      </c>
      <c r="D1668" s="2" t="s">
        <v>3155</v>
      </c>
    </row>
    <row r="1669" spans="1:4" ht="13.05" customHeight="1" x14ac:dyDescent="0.3">
      <c r="A1669" s="2" t="s">
        <v>269</v>
      </c>
      <c r="B1669" s="2" t="s">
        <v>1033</v>
      </c>
      <c r="C1669" s="5" t="s">
        <v>1065</v>
      </c>
      <c r="D1669" s="2" t="s">
        <v>3156</v>
      </c>
    </row>
    <row r="1670" spans="1:4" ht="13.05" customHeight="1" x14ac:dyDescent="0.3">
      <c r="A1670" s="2" t="s">
        <v>269</v>
      </c>
      <c r="B1670" s="2" t="s">
        <v>1033</v>
      </c>
      <c r="C1670" s="5" t="s">
        <v>1067</v>
      </c>
      <c r="D1670" s="2" t="s">
        <v>3157</v>
      </c>
    </row>
    <row r="1671" spans="1:4" ht="13.05" customHeight="1" x14ac:dyDescent="0.3">
      <c r="A1671" s="2" t="s">
        <v>272</v>
      </c>
      <c r="B1671" s="2" t="s">
        <v>1033</v>
      </c>
      <c r="C1671" s="5" t="s">
        <v>1015</v>
      </c>
      <c r="D1671" s="2" t="s">
        <v>1016</v>
      </c>
    </row>
    <row r="1672" spans="1:4" ht="13.05" customHeight="1" x14ac:dyDescent="0.3">
      <c r="A1672" s="2" t="s">
        <v>272</v>
      </c>
      <c r="B1672" s="2" t="s">
        <v>1033</v>
      </c>
      <c r="C1672" s="5" t="s">
        <v>1017</v>
      </c>
      <c r="D1672" s="2" t="s">
        <v>1018</v>
      </c>
    </row>
    <row r="1673" spans="1:4" ht="13.05" customHeight="1" x14ac:dyDescent="0.3">
      <c r="A1673" s="2" t="s">
        <v>272</v>
      </c>
      <c r="B1673" s="2" t="s">
        <v>1033</v>
      </c>
      <c r="C1673" s="5" t="s">
        <v>1019</v>
      </c>
      <c r="D1673" s="2" t="s">
        <v>1020</v>
      </c>
    </row>
    <row r="1674" spans="1:4" ht="13.05" customHeight="1" x14ac:dyDescent="0.3">
      <c r="A1674" s="2" t="s">
        <v>272</v>
      </c>
      <c r="B1674" s="2" t="s">
        <v>1033</v>
      </c>
      <c r="C1674" s="5" t="s">
        <v>1021</v>
      </c>
      <c r="D1674" s="2" t="s">
        <v>3146</v>
      </c>
    </row>
    <row r="1675" spans="1:4" ht="13.05" customHeight="1" x14ac:dyDescent="0.3">
      <c r="A1675" s="2" t="s">
        <v>272</v>
      </c>
      <c r="B1675" s="2" t="s">
        <v>1033</v>
      </c>
      <c r="C1675" s="5" t="s">
        <v>1023</v>
      </c>
      <c r="D1675" s="2" t="s">
        <v>3147</v>
      </c>
    </row>
    <row r="1676" spans="1:4" ht="13.05" customHeight="1" x14ac:dyDescent="0.3">
      <c r="A1676" s="2" t="s">
        <v>272</v>
      </c>
      <c r="B1676" s="2" t="s">
        <v>1033</v>
      </c>
      <c r="C1676" s="5" t="s">
        <v>1025</v>
      </c>
      <c r="D1676" s="2" t="s">
        <v>3148</v>
      </c>
    </row>
    <row r="1677" spans="1:4" ht="13.05" customHeight="1" x14ac:dyDescent="0.3">
      <c r="A1677" s="2" t="s">
        <v>272</v>
      </c>
      <c r="B1677" s="2" t="s">
        <v>1033</v>
      </c>
      <c r="C1677" s="5" t="s">
        <v>1027</v>
      </c>
      <c r="D1677" s="2" t="s">
        <v>3149</v>
      </c>
    </row>
    <row r="1678" spans="1:4" ht="13.05" customHeight="1" x14ac:dyDescent="0.3">
      <c r="A1678" s="2" t="s">
        <v>272</v>
      </c>
      <c r="B1678" s="2" t="s">
        <v>1033</v>
      </c>
      <c r="C1678" s="5" t="s">
        <v>1029</v>
      </c>
      <c r="D1678" s="2" t="s">
        <v>3150</v>
      </c>
    </row>
    <row r="1679" spans="1:4" ht="13.05" customHeight="1" x14ac:dyDescent="0.3">
      <c r="A1679" s="2" t="s">
        <v>272</v>
      </c>
      <c r="B1679" s="2" t="s">
        <v>1033</v>
      </c>
      <c r="C1679" s="5" t="s">
        <v>1031</v>
      </c>
      <c r="D1679" s="2" t="s">
        <v>3151</v>
      </c>
    </row>
    <row r="1680" spans="1:4" ht="13.05" customHeight="1" x14ac:dyDescent="0.3">
      <c r="A1680" s="2" t="s">
        <v>272</v>
      </c>
      <c r="B1680" s="2" t="s">
        <v>1033</v>
      </c>
      <c r="C1680" s="5" t="s">
        <v>1040</v>
      </c>
      <c r="D1680" s="2" t="s">
        <v>3152</v>
      </c>
    </row>
    <row r="1681" spans="1:4" ht="13.05" customHeight="1" x14ac:dyDescent="0.3">
      <c r="A1681" s="2" t="s">
        <v>272</v>
      </c>
      <c r="B1681" s="2" t="s">
        <v>1033</v>
      </c>
      <c r="C1681" s="5" t="s">
        <v>1042</v>
      </c>
      <c r="D1681" s="2" t="s">
        <v>3153</v>
      </c>
    </row>
    <row r="1682" spans="1:4" ht="13.05" customHeight="1" x14ac:dyDescent="0.3">
      <c r="A1682" s="2" t="s">
        <v>272</v>
      </c>
      <c r="B1682" s="2" t="s">
        <v>1033</v>
      </c>
      <c r="C1682" s="5" t="s">
        <v>1061</v>
      </c>
      <c r="D1682" s="2" t="s">
        <v>3154</v>
      </c>
    </row>
    <row r="1683" spans="1:4" ht="13.05" customHeight="1" x14ac:dyDescent="0.3">
      <c r="A1683" s="2" t="s">
        <v>272</v>
      </c>
      <c r="B1683" s="2" t="s">
        <v>1033</v>
      </c>
      <c r="C1683" s="5" t="s">
        <v>1063</v>
      </c>
      <c r="D1683" s="2" t="s">
        <v>3155</v>
      </c>
    </row>
    <row r="1684" spans="1:4" ht="13.05" customHeight="1" x14ac:dyDescent="0.3">
      <c r="A1684" s="2" t="s">
        <v>272</v>
      </c>
      <c r="B1684" s="2" t="s">
        <v>1033</v>
      </c>
      <c r="C1684" s="5" t="s">
        <v>1065</v>
      </c>
      <c r="D1684" s="2" t="s">
        <v>3156</v>
      </c>
    </row>
    <row r="1685" spans="1:4" ht="13.05" customHeight="1" x14ac:dyDescent="0.3">
      <c r="A1685" s="2" t="s">
        <v>272</v>
      </c>
      <c r="B1685" s="2" t="s">
        <v>1033</v>
      </c>
      <c r="C1685" s="5" t="s">
        <v>1067</v>
      </c>
      <c r="D1685" s="2" t="s">
        <v>3157</v>
      </c>
    </row>
    <row r="1686" spans="1:4" ht="13.05" customHeight="1" x14ac:dyDescent="0.3">
      <c r="A1686" s="2" t="s">
        <v>275</v>
      </c>
      <c r="B1686" s="2" t="s">
        <v>1033</v>
      </c>
      <c r="C1686" s="5" t="s">
        <v>1015</v>
      </c>
      <c r="D1686" s="2" t="s">
        <v>1016</v>
      </c>
    </row>
    <row r="1687" spans="1:4" ht="13.05" customHeight="1" x14ac:dyDescent="0.3">
      <c r="A1687" s="2" t="s">
        <v>275</v>
      </c>
      <c r="B1687" s="2" t="s">
        <v>1033</v>
      </c>
      <c r="C1687" s="5" t="s">
        <v>1017</v>
      </c>
      <c r="D1687" s="2" t="s">
        <v>1018</v>
      </c>
    </row>
    <row r="1688" spans="1:4" ht="13.05" customHeight="1" x14ac:dyDescent="0.3">
      <c r="A1688" s="2" t="s">
        <v>275</v>
      </c>
      <c r="B1688" s="2" t="s">
        <v>1033</v>
      </c>
      <c r="C1688" s="5" t="s">
        <v>1019</v>
      </c>
      <c r="D1688" s="2" t="s">
        <v>1020</v>
      </c>
    </row>
    <row r="1689" spans="1:4" ht="13.05" customHeight="1" x14ac:dyDescent="0.3">
      <c r="A1689" s="2" t="s">
        <v>275</v>
      </c>
      <c r="B1689" s="2" t="s">
        <v>1033</v>
      </c>
      <c r="C1689" s="5" t="s">
        <v>1021</v>
      </c>
      <c r="D1689" s="2" t="s">
        <v>3146</v>
      </c>
    </row>
    <row r="1690" spans="1:4" ht="13.05" customHeight="1" x14ac:dyDescent="0.3">
      <c r="A1690" s="2" t="s">
        <v>275</v>
      </c>
      <c r="B1690" s="2" t="s">
        <v>1033</v>
      </c>
      <c r="C1690" s="5" t="s">
        <v>1023</v>
      </c>
      <c r="D1690" s="2" t="s">
        <v>3147</v>
      </c>
    </row>
    <row r="1691" spans="1:4" ht="13.05" customHeight="1" x14ac:dyDescent="0.3">
      <c r="A1691" s="2" t="s">
        <v>275</v>
      </c>
      <c r="B1691" s="2" t="s">
        <v>1033</v>
      </c>
      <c r="C1691" s="5" t="s">
        <v>1025</v>
      </c>
      <c r="D1691" s="2" t="s">
        <v>3148</v>
      </c>
    </row>
    <row r="1692" spans="1:4" ht="13.05" customHeight="1" x14ac:dyDescent="0.3">
      <c r="A1692" s="2" t="s">
        <v>275</v>
      </c>
      <c r="B1692" s="2" t="s">
        <v>1033</v>
      </c>
      <c r="C1692" s="5" t="s">
        <v>1027</v>
      </c>
      <c r="D1692" s="2" t="s">
        <v>3149</v>
      </c>
    </row>
    <row r="1693" spans="1:4" ht="13.05" customHeight="1" x14ac:dyDescent="0.3">
      <c r="A1693" s="2" t="s">
        <v>275</v>
      </c>
      <c r="B1693" s="2" t="s">
        <v>1033</v>
      </c>
      <c r="C1693" s="5" t="s">
        <v>1029</v>
      </c>
      <c r="D1693" s="2" t="s">
        <v>3150</v>
      </c>
    </row>
    <row r="1694" spans="1:4" ht="13.05" customHeight="1" x14ac:dyDescent="0.3">
      <c r="A1694" s="2" t="s">
        <v>275</v>
      </c>
      <c r="B1694" s="2" t="s">
        <v>1033</v>
      </c>
      <c r="C1694" s="5" t="s">
        <v>1031</v>
      </c>
      <c r="D1694" s="2" t="s">
        <v>3151</v>
      </c>
    </row>
    <row r="1695" spans="1:4" ht="13.05" customHeight="1" x14ac:dyDescent="0.3">
      <c r="A1695" s="2" t="s">
        <v>275</v>
      </c>
      <c r="B1695" s="2" t="s">
        <v>1033</v>
      </c>
      <c r="C1695" s="5" t="s">
        <v>1040</v>
      </c>
      <c r="D1695" s="2" t="s">
        <v>3152</v>
      </c>
    </row>
    <row r="1696" spans="1:4" ht="13.05" customHeight="1" x14ac:dyDescent="0.3">
      <c r="A1696" s="2" t="s">
        <v>275</v>
      </c>
      <c r="B1696" s="2" t="s">
        <v>1033</v>
      </c>
      <c r="C1696" s="5" t="s">
        <v>1042</v>
      </c>
      <c r="D1696" s="2" t="s">
        <v>3153</v>
      </c>
    </row>
    <row r="1697" spans="1:4" ht="13.05" customHeight="1" x14ac:dyDescent="0.3">
      <c r="A1697" s="2" t="s">
        <v>275</v>
      </c>
      <c r="B1697" s="2" t="s">
        <v>1033</v>
      </c>
      <c r="C1697" s="5" t="s">
        <v>1061</v>
      </c>
      <c r="D1697" s="2" t="s">
        <v>3154</v>
      </c>
    </row>
    <row r="1698" spans="1:4" ht="13.05" customHeight="1" x14ac:dyDescent="0.3">
      <c r="A1698" s="2" t="s">
        <v>275</v>
      </c>
      <c r="B1698" s="2" t="s">
        <v>1033</v>
      </c>
      <c r="C1698" s="5" t="s">
        <v>1063</v>
      </c>
      <c r="D1698" s="2" t="s">
        <v>3155</v>
      </c>
    </row>
    <row r="1699" spans="1:4" ht="13.05" customHeight="1" x14ac:dyDescent="0.3">
      <c r="A1699" s="2" t="s">
        <v>275</v>
      </c>
      <c r="B1699" s="2" t="s">
        <v>1033</v>
      </c>
      <c r="C1699" s="5" t="s">
        <v>1065</v>
      </c>
      <c r="D1699" s="2" t="s">
        <v>3156</v>
      </c>
    </row>
    <row r="1700" spans="1:4" ht="13.05" customHeight="1" x14ac:dyDescent="0.3">
      <c r="A1700" s="2" t="s">
        <v>275</v>
      </c>
      <c r="B1700" s="2" t="s">
        <v>1033</v>
      </c>
      <c r="C1700" s="5" t="s">
        <v>1067</v>
      </c>
      <c r="D1700" s="2" t="s">
        <v>3157</v>
      </c>
    </row>
    <row r="1701" spans="1:4" ht="13.05" customHeight="1" x14ac:dyDescent="0.3">
      <c r="A1701" s="2" t="s">
        <v>278</v>
      </c>
      <c r="B1701" s="2" t="s">
        <v>1033</v>
      </c>
      <c r="C1701" s="5" t="s">
        <v>1015</v>
      </c>
      <c r="D1701" s="2" t="s">
        <v>1016</v>
      </c>
    </row>
    <row r="1702" spans="1:4" ht="13.05" customHeight="1" x14ac:dyDescent="0.3">
      <c r="A1702" s="2" t="s">
        <v>278</v>
      </c>
      <c r="B1702" s="2" t="s">
        <v>1033</v>
      </c>
      <c r="C1702" s="5" t="s">
        <v>1017</v>
      </c>
      <c r="D1702" s="2" t="s">
        <v>1018</v>
      </c>
    </row>
    <row r="1703" spans="1:4" ht="13.05" customHeight="1" x14ac:dyDescent="0.3">
      <c r="A1703" s="2" t="s">
        <v>278</v>
      </c>
      <c r="B1703" s="2" t="s">
        <v>1033</v>
      </c>
      <c r="C1703" s="5" t="s">
        <v>1019</v>
      </c>
      <c r="D1703" s="2" t="s">
        <v>1020</v>
      </c>
    </row>
    <row r="1704" spans="1:4" ht="13.05" customHeight="1" x14ac:dyDescent="0.3">
      <c r="A1704" s="2" t="s">
        <v>278</v>
      </c>
      <c r="B1704" s="2" t="s">
        <v>1033</v>
      </c>
      <c r="C1704" s="5" t="s">
        <v>1021</v>
      </c>
      <c r="D1704" s="2" t="s">
        <v>3146</v>
      </c>
    </row>
    <row r="1705" spans="1:4" ht="13.05" customHeight="1" x14ac:dyDescent="0.3">
      <c r="A1705" s="2" t="s">
        <v>278</v>
      </c>
      <c r="B1705" s="2" t="s">
        <v>1033</v>
      </c>
      <c r="C1705" s="5" t="s">
        <v>1023</v>
      </c>
      <c r="D1705" s="2" t="s">
        <v>3147</v>
      </c>
    </row>
    <row r="1706" spans="1:4" ht="13.05" customHeight="1" x14ac:dyDescent="0.3">
      <c r="A1706" s="2" t="s">
        <v>278</v>
      </c>
      <c r="B1706" s="2" t="s">
        <v>1033</v>
      </c>
      <c r="C1706" s="5" t="s">
        <v>1025</v>
      </c>
      <c r="D1706" s="2" t="s">
        <v>3148</v>
      </c>
    </row>
    <row r="1707" spans="1:4" ht="13.05" customHeight="1" x14ac:dyDescent="0.3">
      <c r="A1707" s="2" t="s">
        <v>278</v>
      </c>
      <c r="B1707" s="2" t="s">
        <v>1033</v>
      </c>
      <c r="C1707" s="5" t="s">
        <v>1027</v>
      </c>
      <c r="D1707" s="2" t="s">
        <v>3149</v>
      </c>
    </row>
    <row r="1708" spans="1:4" ht="13.05" customHeight="1" x14ac:dyDescent="0.3">
      <c r="A1708" s="2" t="s">
        <v>278</v>
      </c>
      <c r="B1708" s="2" t="s">
        <v>1033</v>
      </c>
      <c r="C1708" s="5" t="s">
        <v>1029</v>
      </c>
      <c r="D1708" s="2" t="s">
        <v>3150</v>
      </c>
    </row>
    <row r="1709" spans="1:4" ht="13.05" customHeight="1" x14ac:dyDescent="0.3">
      <c r="A1709" s="2" t="s">
        <v>278</v>
      </c>
      <c r="B1709" s="2" t="s">
        <v>1033</v>
      </c>
      <c r="C1709" s="5" t="s">
        <v>1031</v>
      </c>
      <c r="D1709" s="2" t="s">
        <v>3151</v>
      </c>
    </row>
    <row r="1710" spans="1:4" ht="13.05" customHeight="1" x14ac:dyDescent="0.3">
      <c r="A1710" s="2" t="s">
        <v>278</v>
      </c>
      <c r="B1710" s="2" t="s">
        <v>1033</v>
      </c>
      <c r="C1710" s="5" t="s">
        <v>1040</v>
      </c>
      <c r="D1710" s="2" t="s">
        <v>3152</v>
      </c>
    </row>
    <row r="1711" spans="1:4" ht="13.05" customHeight="1" x14ac:dyDescent="0.3">
      <c r="A1711" s="2" t="s">
        <v>278</v>
      </c>
      <c r="B1711" s="2" t="s">
        <v>1033</v>
      </c>
      <c r="C1711" s="5" t="s">
        <v>1042</v>
      </c>
      <c r="D1711" s="2" t="s">
        <v>3153</v>
      </c>
    </row>
    <row r="1712" spans="1:4" ht="13.05" customHeight="1" x14ac:dyDescent="0.3">
      <c r="A1712" s="2" t="s">
        <v>278</v>
      </c>
      <c r="B1712" s="2" t="s">
        <v>1033</v>
      </c>
      <c r="C1712" s="5" t="s">
        <v>1061</v>
      </c>
      <c r="D1712" s="2" t="s">
        <v>3154</v>
      </c>
    </row>
    <row r="1713" spans="1:4" ht="13.05" customHeight="1" x14ac:dyDescent="0.3">
      <c r="A1713" s="2" t="s">
        <v>278</v>
      </c>
      <c r="B1713" s="2" t="s">
        <v>1033</v>
      </c>
      <c r="C1713" s="5" t="s">
        <v>1063</v>
      </c>
      <c r="D1713" s="2" t="s">
        <v>3155</v>
      </c>
    </row>
    <row r="1714" spans="1:4" ht="13.05" customHeight="1" x14ac:dyDescent="0.3">
      <c r="A1714" s="2" t="s">
        <v>278</v>
      </c>
      <c r="B1714" s="2" t="s">
        <v>1033</v>
      </c>
      <c r="C1714" s="5" t="s">
        <v>1065</v>
      </c>
      <c r="D1714" s="2" t="s">
        <v>3156</v>
      </c>
    </row>
    <row r="1715" spans="1:4" ht="13.05" customHeight="1" x14ac:dyDescent="0.3">
      <c r="A1715" s="2" t="s">
        <v>278</v>
      </c>
      <c r="B1715" s="2" t="s">
        <v>1033</v>
      </c>
      <c r="C1715" s="5" t="s">
        <v>1067</v>
      </c>
      <c r="D1715" s="2" t="s">
        <v>3157</v>
      </c>
    </row>
    <row r="1716" spans="1:4" ht="13.05" customHeight="1" x14ac:dyDescent="0.3">
      <c r="A1716" s="2" t="s">
        <v>281</v>
      </c>
      <c r="B1716" s="2" t="s">
        <v>1033</v>
      </c>
      <c r="C1716" s="5" t="s">
        <v>1015</v>
      </c>
      <c r="D1716" s="2" t="s">
        <v>1016</v>
      </c>
    </row>
    <row r="1717" spans="1:4" ht="13.05" customHeight="1" x14ac:dyDescent="0.3">
      <c r="A1717" s="2" t="s">
        <v>281</v>
      </c>
      <c r="B1717" s="2" t="s">
        <v>1033</v>
      </c>
      <c r="C1717" s="5" t="s">
        <v>1017</v>
      </c>
      <c r="D1717" s="2" t="s">
        <v>1018</v>
      </c>
    </row>
    <row r="1718" spans="1:4" ht="13.05" customHeight="1" x14ac:dyDescent="0.3">
      <c r="A1718" s="2" t="s">
        <v>281</v>
      </c>
      <c r="B1718" s="2" t="s">
        <v>1033</v>
      </c>
      <c r="C1718" s="5" t="s">
        <v>1019</v>
      </c>
      <c r="D1718" s="2" t="s">
        <v>1020</v>
      </c>
    </row>
    <row r="1719" spans="1:4" ht="13.05" customHeight="1" x14ac:dyDescent="0.3">
      <c r="A1719" s="2" t="s">
        <v>281</v>
      </c>
      <c r="B1719" s="2" t="s">
        <v>1033</v>
      </c>
      <c r="C1719" s="5" t="s">
        <v>1021</v>
      </c>
      <c r="D1719" s="2" t="s">
        <v>3146</v>
      </c>
    </row>
    <row r="1720" spans="1:4" ht="13.05" customHeight="1" x14ac:dyDescent="0.3">
      <c r="A1720" s="2" t="s">
        <v>281</v>
      </c>
      <c r="B1720" s="2" t="s">
        <v>1033</v>
      </c>
      <c r="C1720" s="5" t="s">
        <v>1023</v>
      </c>
      <c r="D1720" s="2" t="s">
        <v>3147</v>
      </c>
    </row>
    <row r="1721" spans="1:4" ht="13.05" customHeight="1" x14ac:dyDescent="0.3">
      <c r="A1721" s="2" t="s">
        <v>281</v>
      </c>
      <c r="B1721" s="2" t="s">
        <v>1033</v>
      </c>
      <c r="C1721" s="5" t="s">
        <v>1025</v>
      </c>
      <c r="D1721" s="2" t="s">
        <v>3148</v>
      </c>
    </row>
    <row r="1722" spans="1:4" ht="13.05" customHeight="1" x14ac:dyDescent="0.3">
      <c r="A1722" s="2" t="s">
        <v>281</v>
      </c>
      <c r="B1722" s="2" t="s">
        <v>1033</v>
      </c>
      <c r="C1722" s="5" t="s">
        <v>1027</v>
      </c>
      <c r="D1722" s="2" t="s">
        <v>3149</v>
      </c>
    </row>
    <row r="1723" spans="1:4" ht="13.05" customHeight="1" x14ac:dyDescent="0.3">
      <c r="A1723" s="2" t="s">
        <v>281</v>
      </c>
      <c r="B1723" s="2" t="s">
        <v>1033</v>
      </c>
      <c r="C1723" s="5" t="s">
        <v>1029</v>
      </c>
      <c r="D1723" s="2" t="s">
        <v>3150</v>
      </c>
    </row>
    <row r="1724" spans="1:4" ht="13.05" customHeight="1" x14ac:dyDescent="0.3">
      <c r="A1724" s="2" t="s">
        <v>281</v>
      </c>
      <c r="B1724" s="2" t="s">
        <v>1033</v>
      </c>
      <c r="C1724" s="5" t="s">
        <v>1031</v>
      </c>
      <c r="D1724" s="2" t="s">
        <v>3151</v>
      </c>
    </row>
    <row r="1725" spans="1:4" ht="13.05" customHeight="1" x14ac:dyDescent="0.3">
      <c r="A1725" s="2" t="s">
        <v>281</v>
      </c>
      <c r="B1725" s="2" t="s">
        <v>1033</v>
      </c>
      <c r="C1725" s="5" t="s">
        <v>1040</v>
      </c>
      <c r="D1725" s="2" t="s">
        <v>3152</v>
      </c>
    </row>
    <row r="1726" spans="1:4" ht="13.05" customHeight="1" x14ac:dyDescent="0.3">
      <c r="A1726" s="2" t="s">
        <v>281</v>
      </c>
      <c r="B1726" s="2" t="s">
        <v>1033</v>
      </c>
      <c r="C1726" s="5" t="s">
        <v>1042</v>
      </c>
      <c r="D1726" s="2" t="s">
        <v>3153</v>
      </c>
    </row>
    <row r="1727" spans="1:4" ht="13.05" customHeight="1" x14ac:dyDescent="0.3">
      <c r="A1727" s="2" t="s">
        <v>281</v>
      </c>
      <c r="B1727" s="2" t="s">
        <v>1033</v>
      </c>
      <c r="C1727" s="5" t="s">
        <v>1061</v>
      </c>
      <c r="D1727" s="2" t="s">
        <v>3154</v>
      </c>
    </row>
    <row r="1728" spans="1:4" ht="13.05" customHeight="1" x14ac:dyDescent="0.3">
      <c r="A1728" s="2" t="s">
        <v>281</v>
      </c>
      <c r="B1728" s="2" t="s">
        <v>1033</v>
      </c>
      <c r="C1728" s="5" t="s">
        <v>1063</v>
      </c>
      <c r="D1728" s="2" t="s">
        <v>3155</v>
      </c>
    </row>
    <row r="1729" spans="1:4" ht="13.05" customHeight="1" x14ac:dyDescent="0.3">
      <c r="A1729" s="2" t="s">
        <v>281</v>
      </c>
      <c r="B1729" s="2" t="s">
        <v>1033</v>
      </c>
      <c r="C1729" s="5" t="s">
        <v>1065</v>
      </c>
      <c r="D1729" s="2" t="s">
        <v>3156</v>
      </c>
    </row>
    <row r="1730" spans="1:4" ht="13.05" customHeight="1" x14ac:dyDescent="0.3">
      <c r="A1730" s="2" t="s">
        <v>281</v>
      </c>
      <c r="B1730" s="2" t="s">
        <v>1033</v>
      </c>
      <c r="C1730" s="5" t="s">
        <v>1067</v>
      </c>
      <c r="D1730" s="2" t="s">
        <v>3157</v>
      </c>
    </row>
    <row r="1731" spans="1:4" ht="13.05" customHeight="1" x14ac:dyDescent="0.3">
      <c r="A1731" s="2" t="s">
        <v>284</v>
      </c>
      <c r="B1731" s="2" t="s">
        <v>1033</v>
      </c>
      <c r="C1731" s="5" t="s">
        <v>1015</v>
      </c>
      <c r="D1731" s="2" t="s">
        <v>1016</v>
      </c>
    </row>
    <row r="1732" spans="1:4" ht="13.05" customHeight="1" x14ac:dyDescent="0.3">
      <c r="A1732" s="2" t="s">
        <v>284</v>
      </c>
      <c r="B1732" s="2" t="s">
        <v>1033</v>
      </c>
      <c r="C1732" s="5" t="s">
        <v>1017</v>
      </c>
      <c r="D1732" s="2" t="s">
        <v>1018</v>
      </c>
    </row>
    <row r="1733" spans="1:4" ht="13.05" customHeight="1" x14ac:dyDescent="0.3">
      <c r="A1733" s="2" t="s">
        <v>284</v>
      </c>
      <c r="B1733" s="2" t="s">
        <v>1033</v>
      </c>
      <c r="C1733" s="5" t="s">
        <v>1019</v>
      </c>
      <c r="D1733" s="2" t="s">
        <v>1020</v>
      </c>
    </row>
    <row r="1734" spans="1:4" ht="13.05" customHeight="1" x14ac:dyDescent="0.3">
      <c r="A1734" s="2" t="s">
        <v>284</v>
      </c>
      <c r="B1734" s="2" t="s">
        <v>1033</v>
      </c>
      <c r="C1734" s="5" t="s">
        <v>1021</v>
      </c>
      <c r="D1734" s="2" t="s">
        <v>3146</v>
      </c>
    </row>
    <row r="1735" spans="1:4" ht="13.05" customHeight="1" x14ac:dyDescent="0.3">
      <c r="A1735" s="2" t="s">
        <v>284</v>
      </c>
      <c r="B1735" s="2" t="s">
        <v>1033</v>
      </c>
      <c r="C1735" s="5" t="s">
        <v>1023</v>
      </c>
      <c r="D1735" s="2" t="s">
        <v>3147</v>
      </c>
    </row>
    <row r="1736" spans="1:4" ht="13.05" customHeight="1" x14ac:dyDescent="0.3">
      <c r="A1736" s="2" t="s">
        <v>284</v>
      </c>
      <c r="B1736" s="2" t="s">
        <v>1033</v>
      </c>
      <c r="C1736" s="5" t="s">
        <v>1025</v>
      </c>
      <c r="D1736" s="2" t="s">
        <v>3148</v>
      </c>
    </row>
    <row r="1737" spans="1:4" ht="13.05" customHeight="1" x14ac:dyDescent="0.3">
      <c r="A1737" s="2" t="s">
        <v>284</v>
      </c>
      <c r="B1737" s="2" t="s">
        <v>1033</v>
      </c>
      <c r="C1737" s="5" t="s">
        <v>1027</v>
      </c>
      <c r="D1737" s="2" t="s">
        <v>3149</v>
      </c>
    </row>
    <row r="1738" spans="1:4" ht="13.05" customHeight="1" x14ac:dyDescent="0.3">
      <c r="A1738" s="2" t="s">
        <v>284</v>
      </c>
      <c r="B1738" s="2" t="s">
        <v>1033</v>
      </c>
      <c r="C1738" s="5" t="s">
        <v>1029</v>
      </c>
      <c r="D1738" s="2" t="s">
        <v>3150</v>
      </c>
    </row>
    <row r="1739" spans="1:4" ht="13.05" customHeight="1" x14ac:dyDescent="0.3">
      <c r="A1739" s="2" t="s">
        <v>284</v>
      </c>
      <c r="B1739" s="2" t="s">
        <v>1033</v>
      </c>
      <c r="C1739" s="5" t="s">
        <v>1031</v>
      </c>
      <c r="D1739" s="2" t="s">
        <v>3151</v>
      </c>
    </row>
    <row r="1740" spans="1:4" ht="13.05" customHeight="1" x14ac:dyDescent="0.3">
      <c r="A1740" s="2" t="s">
        <v>284</v>
      </c>
      <c r="B1740" s="2" t="s">
        <v>1033</v>
      </c>
      <c r="C1740" s="5" t="s">
        <v>1040</v>
      </c>
      <c r="D1740" s="2" t="s">
        <v>3152</v>
      </c>
    </row>
    <row r="1741" spans="1:4" ht="13.05" customHeight="1" x14ac:dyDescent="0.3">
      <c r="A1741" s="2" t="s">
        <v>284</v>
      </c>
      <c r="B1741" s="2" t="s">
        <v>1033</v>
      </c>
      <c r="C1741" s="5" t="s">
        <v>1042</v>
      </c>
      <c r="D1741" s="2" t="s">
        <v>3153</v>
      </c>
    </row>
    <row r="1742" spans="1:4" ht="13.05" customHeight="1" x14ac:dyDescent="0.3">
      <c r="A1742" s="2" t="s">
        <v>284</v>
      </c>
      <c r="B1742" s="2" t="s">
        <v>1033</v>
      </c>
      <c r="C1742" s="5" t="s">
        <v>1061</v>
      </c>
      <c r="D1742" s="2" t="s">
        <v>3154</v>
      </c>
    </row>
    <row r="1743" spans="1:4" ht="13.05" customHeight="1" x14ac:dyDescent="0.3">
      <c r="A1743" s="2" t="s">
        <v>284</v>
      </c>
      <c r="B1743" s="2" t="s">
        <v>1033</v>
      </c>
      <c r="C1743" s="5" t="s">
        <v>1063</v>
      </c>
      <c r="D1743" s="2" t="s">
        <v>3155</v>
      </c>
    </row>
    <row r="1744" spans="1:4" ht="13.05" customHeight="1" x14ac:dyDescent="0.3">
      <c r="A1744" s="2" t="s">
        <v>284</v>
      </c>
      <c r="B1744" s="2" t="s">
        <v>1033</v>
      </c>
      <c r="C1744" s="5" t="s">
        <v>1065</v>
      </c>
      <c r="D1744" s="2" t="s">
        <v>3156</v>
      </c>
    </row>
    <row r="1745" spans="1:4" ht="13.05" customHeight="1" x14ac:dyDescent="0.3">
      <c r="A1745" s="2" t="s">
        <v>284</v>
      </c>
      <c r="B1745" s="2" t="s">
        <v>1033</v>
      </c>
      <c r="C1745" s="5" t="s">
        <v>1067</v>
      </c>
      <c r="D1745" s="2" t="s">
        <v>3157</v>
      </c>
    </row>
    <row r="1746" spans="1:4" ht="13.05" customHeight="1" x14ac:dyDescent="0.3">
      <c r="A1746" s="2" t="s">
        <v>287</v>
      </c>
      <c r="B1746" s="2" t="s">
        <v>1033</v>
      </c>
      <c r="C1746" s="5" t="s">
        <v>1015</v>
      </c>
      <c r="D1746" s="2" t="s">
        <v>1016</v>
      </c>
    </row>
    <row r="1747" spans="1:4" ht="13.05" customHeight="1" x14ac:dyDescent="0.3">
      <c r="A1747" s="2" t="s">
        <v>287</v>
      </c>
      <c r="B1747" s="2" t="s">
        <v>1033</v>
      </c>
      <c r="C1747" s="5" t="s">
        <v>1017</v>
      </c>
      <c r="D1747" s="2" t="s">
        <v>1018</v>
      </c>
    </row>
    <row r="1748" spans="1:4" ht="13.05" customHeight="1" x14ac:dyDescent="0.3">
      <c r="A1748" s="2" t="s">
        <v>287</v>
      </c>
      <c r="B1748" s="2" t="s">
        <v>1033</v>
      </c>
      <c r="C1748" s="5" t="s">
        <v>1019</v>
      </c>
      <c r="D1748" s="2" t="s">
        <v>1020</v>
      </c>
    </row>
    <row r="1749" spans="1:4" ht="13.05" customHeight="1" x14ac:dyDescent="0.3">
      <c r="A1749" s="2" t="s">
        <v>287</v>
      </c>
      <c r="B1749" s="2" t="s">
        <v>1033</v>
      </c>
      <c r="C1749" s="5" t="s">
        <v>1021</v>
      </c>
      <c r="D1749" s="2" t="s">
        <v>3146</v>
      </c>
    </row>
    <row r="1750" spans="1:4" ht="13.05" customHeight="1" x14ac:dyDescent="0.3">
      <c r="A1750" s="2" t="s">
        <v>287</v>
      </c>
      <c r="B1750" s="2" t="s">
        <v>1033</v>
      </c>
      <c r="C1750" s="5" t="s">
        <v>1023</v>
      </c>
      <c r="D1750" s="2" t="s">
        <v>3147</v>
      </c>
    </row>
    <row r="1751" spans="1:4" ht="13.05" customHeight="1" x14ac:dyDescent="0.3">
      <c r="A1751" s="2" t="s">
        <v>287</v>
      </c>
      <c r="B1751" s="2" t="s">
        <v>1033</v>
      </c>
      <c r="C1751" s="5" t="s">
        <v>1025</v>
      </c>
      <c r="D1751" s="2" t="s">
        <v>3148</v>
      </c>
    </row>
    <row r="1752" spans="1:4" ht="13.05" customHeight="1" x14ac:dyDescent="0.3">
      <c r="A1752" s="2" t="s">
        <v>287</v>
      </c>
      <c r="B1752" s="2" t="s">
        <v>1033</v>
      </c>
      <c r="C1752" s="5" t="s">
        <v>1027</v>
      </c>
      <c r="D1752" s="2" t="s">
        <v>3149</v>
      </c>
    </row>
    <row r="1753" spans="1:4" ht="13.05" customHeight="1" x14ac:dyDescent="0.3">
      <c r="A1753" s="2" t="s">
        <v>287</v>
      </c>
      <c r="B1753" s="2" t="s">
        <v>1033</v>
      </c>
      <c r="C1753" s="5" t="s">
        <v>1029</v>
      </c>
      <c r="D1753" s="2" t="s">
        <v>3150</v>
      </c>
    </row>
    <row r="1754" spans="1:4" ht="13.05" customHeight="1" x14ac:dyDescent="0.3">
      <c r="A1754" s="2" t="s">
        <v>287</v>
      </c>
      <c r="B1754" s="2" t="s">
        <v>1033</v>
      </c>
      <c r="C1754" s="5" t="s">
        <v>1031</v>
      </c>
      <c r="D1754" s="2" t="s">
        <v>3151</v>
      </c>
    </row>
    <row r="1755" spans="1:4" ht="13.05" customHeight="1" x14ac:dyDescent="0.3">
      <c r="A1755" s="2" t="s">
        <v>287</v>
      </c>
      <c r="B1755" s="2" t="s">
        <v>1033</v>
      </c>
      <c r="C1755" s="5" t="s">
        <v>1040</v>
      </c>
      <c r="D1755" s="2" t="s">
        <v>3152</v>
      </c>
    </row>
    <row r="1756" spans="1:4" ht="13.05" customHeight="1" x14ac:dyDescent="0.3">
      <c r="A1756" s="2" t="s">
        <v>287</v>
      </c>
      <c r="B1756" s="2" t="s">
        <v>1033</v>
      </c>
      <c r="C1756" s="5" t="s">
        <v>1042</v>
      </c>
      <c r="D1756" s="2" t="s">
        <v>3153</v>
      </c>
    </row>
    <row r="1757" spans="1:4" ht="13.05" customHeight="1" x14ac:dyDescent="0.3">
      <c r="A1757" s="2" t="s">
        <v>287</v>
      </c>
      <c r="B1757" s="2" t="s">
        <v>1033</v>
      </c>
      <c r="C1757" s="5" t="s">
        <v>1061</v>
      </c>
      <c r="D1757" s="2" t="s">
        <v>3154</v>
      </c>
    </row>
    <row r="1758" spans="1:4" ht="13.05" customHeight="1" x14ac:dyDescent="0.3">
      <c r="A1758" s="2" t="s">
        <v>287</v>
      </c>
      <c r="B1758" s="2" t="s">
        <v>1033</v>
      </c>
      <c r="C1758" s="5" t="s">
        <v>1063</v>
      </c>
      <c r="D1758" s="2" t="s">
        <v>3155</v>
      </c>
    </row>
    <row r="1759" spans="1:4" ht="13.05" customHeight="1" x14ac:dyDescent="0.3">
      <c r="A1759" s="2" t="s">
        <v>287</v>
      </c>
      <c r="B1759" s="2" t="s">
        <v>1033</v>
      </c>
      <c r="C1759" s="5" t="s">
        <v>1065</v>
      </c>
      <c r="D1759" s="2" t="s">
        <v>3156</v>
      </c>
    </row>
    <row r="1760" spans="1:4" ht="13.05" customHeight="1" x14ac:dyDescent="0.3">
      <c r="A1760" s="2" t="s">
        <v>287</v>
      </c>
      <c r="B1760" s="2" t="s">
        <v>1033</v>
      </c>
      <c r="C1760" s="5" t="s">
        <v>1067</v>
      </c>
      <c r="D1760" s="2" t="s">
        <v>3157</v>
      </c>
    </row>
    <row r="1761" spans="1:4" ht="13.05" customHeight="1" x14ac:dyDescent="0.3">
      <c r="A1761" s="2" t="s">
        <v>290</v>
      </c>
      <c r="B1761" s="2" t="s">
        <v>1033</v>
      </c>
      <c r="C1761" s="5" t="s">
        <v>1015</v>
      </c>
      <c r="D1761" s="2" t="s">
        <v>1016</v>
      </c>
    </row>
    <row r="1762" spans="1:4" ht="13.05" customHeight="1" x14ac:dyDescent="0.3">
      <c r="A1762" s="2" t="s">
        <v>290</v>
      </c>
      <c r="B1762" s="2" t="s">
        <v>1033</v>
      </c>
      <c r="C1762" s="5" t="s">
        <v>1017</v>
      </c>
      <c r="D1762" s="2" t="s">
        <v>1018</v>
      </c>
    </row>
    <row r="1763" spans="1:4" ht="13.05" customHeight="1" x14ac:dyDescent="0.3">
      <c r="A1763" s="2" t="s">
        <v>290</v>
      </c>
      <c r="B1763" s="2" t="s">
        <v>1033</v>
      </c>
      <c r="C1763" s="5" t="s">
        <v>1019</v>
      </c>
      <c r="D1763" s="2" t="s">
        <v>1020</v>
      </c>
    </row>
    <row r="1764" spans="1:4" ht="13.05" customHeight="1" x14ac:dyDescent="0.3">
      <c r="A1764" s="2" t="s">
        <v>290</v>
      </c>
      <c r="B1764" s="2" t="s">
        <v>1033</v>
      </c>
      <c r="C1764" s="5" t="s">
        <v>1021</v>
      </c>
      <c r="D1764" s="2" t="s">
        <v>3146</v>
      </c>
    </row>
    <row r="1765" spans="1:4" ht="13.05" customHeight="1" x14ac:dyDescent="0.3">
      <c r="A1765" s="2" t="s">
        <v>290</v>
      </c>
      <c r="B1765" s="2" t="s">
        <v>1033</v>
      </c>
      <c r="C1765" s="5" t="s">
        <v>1023</v>
      </c>
      <c r="D1765" s="2" t="s">
        <v>3147</v>
      </c>
    </row>
    <row r="1766" spans="1:4" ht="13.05" customHeight="1" x14ac:dyDescent="0.3">
      <c r="A1766" s="2" t="s">
        <v>290</v>
      </c>
      <c r="B1766" s="2" t="s">
        <v>1033</v>
      </c>
      <c r="C1766" s="5" t="s">
        <v>1025</v>
      </c>
      <c r="D1766" s="2" t="s">
        <v>3148</v>
      </c>
    </row>
    <row r="1767" spans="1:4" ht="13.05" customHeight="1" x14ac:dyDescent="0.3">
      <c r="A1767" s="2" t="s">
        <v>290</v>
      </c>
      <c r="B1767" s="2" t="s">
        <v>1033</v>
      </c>
      <c r="C1767" s="5" t="s">
        <v>1027</v>
      </c>
      <c r="D1767" s="2" t="s">
        <v>3149</v>
      </c>
    </row>
    <row r="1768" spans="1:4" ht="13.05" customHeight="1" x14ac:dyDescent="0.3">
      <c r="A1768" s="2" t="s">
        <v>290</v>
      </c>
      <c r="B1768" s="2" t="s">
        <v>1033</v>
      </c>
      <c r="C1768" s="5" t="s">
        <v>1029</v>
      </c>
      <c r="D1768" s="2" t="s">
        <v>3150</v>
      </c>
    </row>
    <row r="1769" spans="1:4" ht="13.05" customHeight="1" x14ac:dyDescent="0.3">
      <c r="A1769" s="2" t="s">
        <v>290</v>
      </c>
      <c r="B1769" s="2" t="s">
        <v>1033</v>
      </c>
      <c r="C1769" s="5" t="s">
        <v>1031</v>
      </c>
      <c r="D1769" s="2" t="s">
        <v>3151</v>
      </c>
    </row>
    <row r="1770" spans="1:4" ht="13.05" customHeight="1" x14ac:dyDescent="0.3">
      <c r="A1770" s="2" t="s">
        <v>290</v>
      </c>
      <c r="B1770" s="2" t="s">
        <v>1033</v>
      </c>
      <c r="C1770" s="5" t="s">
        <v>1040</v>
      </c>
      <c r="D1770" s="2" t="s">
        <v>3152</v>
      </c>
    </row>
    <row r="1771" spans="1:4" ht="13.05" customHeight="1" x14ac:dyDescent="0.3">
      <c r="A1771" s="2" t="s">
        <v>290</v>
      </c>
      <c r="B1771" s="2" t="s">
        <v>1033</v>
      </c>
      <c r="C1771" s="5" t="s">
        <v>1042</v>
      </c>
      <c r="D1771" s="2" t="s">
        <v>3153</v>
      </c>
    </row>
    <row r="1772" spans="1:4" ht="13.05" customHeight="1" x14ac:dyDescent="0.3">
      <c r="A1772" s="2" t="s">
        <v>290</v>
      </c>
      <c r="B1772" s="2" t="s">
        <v>1033</v>
      </c>
      <c r="C1772" s="5" t="s">
        <v>1061</v>
      </c>
      <c r="D1772" s="2" t="s">
        <v>3154</v>
      </c>
    </row>
    <row r="1773" spans="1:4" ht="13.05" customHeight="1" x14ac:dyDescent="0.3">
      <c r="A1773" s="2" t="s">
        <v>290</v>
      </c>
      <c r="B1773" s="2" t="s">
        <v>1033</v>
      </c>
      <c r="C1773" s="5" t="s">
        <v>1063</v>
      </c>
      <c r="D1773" s="2" t="s">
        <v>3155</v>
      </c>
    </row>
    <row r="1774" spans="1:4" ht="13.05" customHeight="1" x14ac:dyDescent="0.3">
      <c r="A1774" s="2" t="s">
        <v>290</v>
      </c>
      <c r="B1774" s="2" t="s">
        <v>1033</v>
      </c>
      <c r="C1774" s="5" t="s">
        <v>1065</v>
      </c>
      <c r="D1774" s="2" t="s">
        <v>3156</v>
      </c>
    </row>
    <row r="1775" spans="1:4" ht="13.05" customHeight="1" x14ac:dyDescent="0.3">
      <c r="A1775" s="2" t="s">
        <v>290</v>
      </c>
      <c r="B1775" s="2" t="s">
        <v>1033</v>
      </c>
      <c r="C1775" s="5" t="s">
        <v>1067</v>
      </c>
      <c r="D1775" s="2" t="s">
        <v>3157</v>
      </c>
    </row>
    <row r="1776" spans="1:4" ht="13.05" customHeight="1" x14ac:dyDescent="0.3">
      <c r="A1776" s="2" t="s">
        <v>293</v>
      </c>
      <c r="B1776" s="2" t="s">
        <v>1033</v>
      </c>
      <c r="C1776" s="5" t="s">
        <v>1015</v>
      </c>
      <c r="D1776" s="2" t="s">
        <v>1016</v>
      </c>
    </row>
    <row r="1777" spans="1:4" ht="13.05" customHeight="1" x14ac:dyDescent="0.3">
      <c r="A1777" s="2" t="s">
        <v>293</v>
      </c>
      <c r="B1777" s="2" t="s">
        <v>1033</v>
      </c>
      <c r="C1777" s="5" t="s">
        <v>1017</v>
      </c>
      <c r="D1777" s="2" t="s">
        <v>1018</v>
      </c>
    </row>
    <row r="1778" spans="1:4" ht="13.05" customHeight="1" x14ac:dyDescent="0.3">
      <c r="A1778" s="2" t="s">
        <v>293</v>
      </c>
      <c r="B1778" s="2" t="s">
        <v>1033</v>
      </c>
      <c r="C1778" s="5" t="s">
        <v>1019</v>
      </c>
      <c r="D1778" s="2" t="s">
        <v>1020</v>
      </c>
    </row>
    <row r="1779" spans="1:4" ht="13.05" customHeight="1" x14ac:dyDescent="0.3">
      <c r="A1779" s="2" t="s">
        <v>293</v>
      </c>
      <c r="B1779" s="2" t="s">
        <v>1033</v>
      </c>
      <c r="C1779" s="5" t="s">
        <v>1021</v>
      </c>
      <c r="D1779" s="2" t="s">
        <v>3146</v>
      </c>
    </row>
    <row r="1780" spans="1:4" ht="13.05" customHeight="1" x14ac:dyDescent="0.3">
      <c r="A1780" s="2" t="s">
        <v>293</v>
      </c>
      <c r="B1780" s="2" t="s">
        <v>1033</v>
      </c>
      <c r="C1780" s="5" t="s">
        <v>1023</v>
      </c>
      <c r="D1780" s="2" t="s">
        <v>3147</v>
      </c>
    </row>
    <row r="1781" spans="1:4" ht="13.05" customHeight="1" x14ac:dyDescent="0.3">
      <c r="A1781" s="2" t="s">
        <v>293</v>
      </c>
      <c r="B1781" s="2" t="s">
        <v>1033</v>
      </c>
      <c r="C1781" s="5" t="s">
        <v>1025</v>
      </c>
      <c r="D1781" s="2" t="s">
        <v>3148</v>
      </c>
    </row>
    <row r="1782" spans="1:4" ht="13.05" customHeight="1" x14ac:dyDescent="0.3">
      <c r="A1782" s="2" t="s">
        <v>293</v>
      </c>
      <c r="B1782" s="2" t="s">
        <v>1033</v>
      </c>
      <c r="C1782" s="5" t="s">
        <v>1027</v>
      </c>
      <c r="D1782" s="2" t="s">
        <v>3149</v>
      </c>
    </row>
    <row r="1783" spans="1:4" ht="13.05" customHeight="1" x14ac:dyDescent="0.3">
      <c r="A1783" s="2" t="s">
        <v>293</v>
      </c>
      <c r="B1783" s="2" t="s">
        <v>1033</v>
      </c>
      <c r="C1783" s="5" t="s">
        <v>1029</v>
      </c>
      <c r="D1783" s="2" t="s">
        <v>3150</v>
      </c>
    </row>
    <row r="1784" spans="1:4" ht="13.05" customHeight="1" x14ac:dyDescent="0.3">
      <c r="A1784" s="2" t="s">
        <v>293</v>
      </c>
      <c r="B1784" s="2" t="s">
        <v>1033</v>
      </c>
      <c r="C1784" s="5" t="s">
        <v>1031</v>
      </c>
      <c r="D1784" s="2" t="s">
        <v>3151</v>
      </c>
    </row>
    <row r="1785" spans="1:4" ht="13.05" customHeight="1" x14ac:dyDescent="0.3">
      <c r="A1785" s="2" t="s">
        <v>293</v>
      </c>
      <c r="B1785" s="2" t="s">
        <v>1033</v>
      </c>
      <c r="C1785" s="5" t="s">
        <v>1040</v>
      </c>
      <c r="D1785" s="2" t="s">
        <v>3152</v>
      </c>
    </row>
    <row r="1786" spans="1:4" ht="13.05" customHeight="1" x14ac:dyDescent="0.3">
      <c r="A1786" s="2" t="s">
        <v>293</v>
      </c>
      <c r="B1786" s="2" t="s">
        <v>1033</v>
      </c>
      <c r="C1786" s="5" t="s">
        <v>1042</v>
      </c>
      <c r="D1786" s="2" t="s">
        <v>3153</v>
      </c>
    </row>
    <row r="1787" spans="1:4" ht="13.05" customHeight="1" x14ac:dyDescent="0.3">
      <c r="A1787" s="2" t="s">
        <v>293</v>
      </c>
      <c r="B1787" s="2" t="s">
        <v>1033</v>
      </c>
      <c r="C1787" s="5" t="s">
        <v>1061</v>
      </c>
      <c r="D1787" s="2" t="s">
        <v>3154</v>
      </c>
    </row>
    <row r="1788" spans="1:4" ht="13.05" customHeight="1" x14ac:dyDescent="0.3">
      <c r="A1788" s="2" t="s">
        <v>293</v>
      </c>
      <c r="B1788" s="2" t="s">
        <v>1033</v>
      </c>
      <c r="C1788" s="5" t="s">
        <v>1063</v>
      </c>
      <c r="D1788" s="2" t="s">
        <v>3155</v>
      </c>
    </row>
    <row r="1789" spans="1:4" ht="13.05" customHeight="1" x14ac:dyDescent="0.3">
      <c r="A1789" s="2" t="s">
        <v>293</v>
      </c>
      <c r="B1789" s="2" t="s">
        <v>1033</v>
      </c>
      <c r="C1789" s="5" t="s">
        <v>1065</v>
      </c>
      <c r="D1789" s="2" t="s">
        <v>3156</v>
      </c>
    </row>
    <row r="1790" spans="1:4" ht="13.05" customHeight="1" x14ac:dyDescent="0.3">
      <c r="A1790" s="2" t="s">
        <v>293</v>
      </c>
      <c r="B1790" s="2" t="s">
        <v>1033</v>
      </c>
      <c r="C1790" s="5" t="s">
        <v>1067</v>
      </c>
      <c r="D1790" s="2" t="s">
        <v>3157</v>
      </c>
    </row>
    <row r="1791" spans="1:4" ht="13.05" customHeight="1" x14ac:dyDescent="0.3">
      <c r="A1791" s="2" t="s">
        <v>296</v>
      </c>
      <c r="B1791" s="2" t="s">
        <v>1033</v>
      </c>
      <c r="C1791" s="5" t="s">
        <v>1015</v>
      </c>
      <c r="D1791" s="2" t="s">
        <v>1016</v>
      </c>
    </row>
    <row r="1792" spans="1:4" ht="13.05" customHeight="1" x14ac:dyDescent="0.3">
      <c r="A1792" s="2" t="s">
        <v>296</v>
      </c>
      <c r="B1792" s="2" t="s">
        <v>1033</v>
      </c>
      <c r="C1792" s="5" t="s">
        <v>1017</v>
      </c>
      <c r="D1792" s="2" t="s">
        <v>1018</v>
      </c>
    </row>
    <row r="1793" spans="1:4" ht="13.05" customHeight="1" x14ac:dyDescent="0.3">
      <c r="A1793" s="2" t="s">
        <v>296</v>
      </c>
      <c r="B1793" s="2" t="s">
        <v>1033</v>
      </c>
      <c r="C1793" s="5" t="s">
        <v>1019</v>
      </c>
      <c r="D1793" s="2" t="s">
        <v>1020</v>
      </c>
    </row>
    <row r="1794" spans="1:4" ht="13.05" customHeight="1" x14ac:dyDescent="0.3">
      <c r="A1794" s="2" t="s">
        <v>296</v>
      </c>
      <c r="B1794" s="2" t="s">
        <v>1033</v>
      </c>
      <c r="C1794" s="5" t="s">
        <v>1021</v>
      </c>
      <c r="D1794" s="2" t="s">
        <v>3146</v>
      </c>
    </row>
    <row r="1795" spans="1:4" ht="13.05" customHeight="1" x14ac:dyDescent="0.3">
      <c r="A1795" s="2" t="s">
        <v>296</v>
      </c>
      <c r="B1795" s="2" t="s">
        <v>1033</v>
      </c>
      <c r="C1795" s="5" t="s">
        <v>1023</v>
      </c>
      <c r="D1795" s="2" t="s">
        <v>3147</v>
      </c>
    </row>
    <row r="1796" spans="1:4" ht="13.05" customHeight="1" x14ac:dyDescent="0.3">
      <c r="A1796" s="2" t="s">
        <v>296</v>
      </c>
      <c r="B1796" s="2" t="s">
        <v>1033</v>
      </c>
      <c r="C1796" s="5" t="s">
        <v>1025</v>
      </c>
      <c r="D1796" s="2" t="s">
        <v>3148</v>
      </c>
    </row>
    <row r="1797" spans="1:4" ht="13.05" customHeight="1" x14ac:dyDescent="0.3">
      <c r="A1797" s="2" t="s">
        <v>296</v>
      </c>
      <c r="B1797" s="2" t="s">
        <v>1033</v>
      </c>
      <c r="C1797" s="5" t="s">
        <v>1027</v>
      </c>
      <c r="D1797" s="2" t="s">
        <v>3149</v>
      </c>
    </row>
    <row r="1798" spans="1:4" ht="13.05" customHeight="1" x14ac:dyDescent="0.3">
      <c r="A1798" s="2" t="s">
        <v>296</v>
      </c>
      <c r="B1798" s="2" t="s">
        <v>1033</v>
      </c>
      <c r="C1798" s="5" t="s">
        <v>1029</v>
      </c>
      <c r="D1798" s="2" t="s">
        <v>3150</v>
      </c>
    </row>
    <row r="1799" spans="1:4" ht="13.05" customHeight="1" x14ac:dyDescent="0.3">
      <c r="A1799" s="2" t="s">
        <v>296</v>
      </c>
      <c r="B1799" s="2" t="s">
        <v>1033</v>
      </c>
      <c r="C1799" s="5" t="s">
        <v>1031</v>
      </c>
      <c r="D1799" s="2" t="s">
        <v>3151</v>
      </c>
    </row>
    <row r="1800" spans="1:4" ht="13.05" customHeight="1" x14ac:dyDescent="0.3">
      <c r="A1800" s="2" t="s">
        <v>296</v>
      </c>
      <c r="B1800" s="2" t="s">
        <v>1033</v>
      </c>
      <c r="C1800" s="5" t="s">
        <v>1040</v>
      </c>
      <c r="D1800" s="2" t="s">
        <v>3152</v>
      </c>
    </row>
    <row r="1801" spans="1:4" ht="13.05" customHeight="1" x14ac:dyDescent="0.3">
      <c r="A1801" s="2" t="s">
        <v>296</v>
      </c>
      <c r="B1801" s="2" t="s">
        <v>1033</v>
      </c>
      <c r="C1801" s="5" t="s">
        <v>1042</v>
      </c>
      <c r="D1801" s="2" t="s">
        <v>3153</v>
      </c>
    </row>
    <row r="1802" spans="1:4" ht="13.05" customHeight="1" x14ac:dyDescent="0.3">
      <c r="A1802" s="2" t="s">
        <v>296</v>
      </c>
      <c r="B1802" s="2" t="s">
        <v>1033</v>
      </c>
      <c r="C1802" s="5" t="s">
        <v>1061</v>
      </c>
      <c r="D1802" s="2" t="s">
        <v>3154</v>
      </c>
    </row>
    <row r="1803" spans="1:4" ht="13.05" customHeight="1" x14ac:dyDescent="0.3">
      <c r="A1803" s="2" t="s">
        <v>296</v>
      </c>
      <c r="B1803" s="2" t="s">
        <v>1033</v>
      </c>
      <c r="C1803" s="5" t="s">
        <v>1063</v>
      </c>
      <c r="D1803" s="2" t="s">
        <v>3155</v>
      </c>
    </row>
    <row r="1804" spans="1:4" ht="13.05" customHeight="1" x14ac:dyDescent="0.3">
      <c r="A1804" s="2" t="s">
        <v>296</v>
      </c>
      <c r="B1804" s="2" t="s">
        <v>1033</v>
      </c>
      <c r="C1804" s="5" t="s">
        <v>1065</v>
      </c>
      <c r="D1804" s="2" t="s">
        <v>3156</v>
      </c>
    </row>
    <row r="1805" spans="1:4" ht="13.05" customHeight="1" x14ac:dyDescent="0.3">
      <c r="A1805" s="2" t="s">
        <v>296</v>
      </c>
      <c r="B1805" s="2" t="s">
        <v>1033</v>
      </c>
      <c r="C1805" s="5" t="s">
        <v>1067</v>
      </c>
      <c r="D1805" s="2" t="s">
        <v>3157</v>
      </c>
    </row>
    <row r="1806" spans="1:4" ht="13.05" customHeight="1" x14ac:dyDescent="0.3">
      <c r="A1806" s="2" t="s">
        <v>299</v>
      </c>
      <c r="B1806" s="2" t="s">
        <v>1033</v>
      </c>
      <c r="C1806" s="5" t="s">
        <v>1015</v>
      </c>
      <c r="D1806" s="2" t="s">
        <v>1016</v>
      </c>
    </row>
    <row r="1807" spans="1:4" ht="13.05" customHeight="1" x14ac:dyDescent="0.3">
      <c r="A1807" s="2" t="s">
        <v>299</v>
      </c>
      <c r="B1807" s="2" t="s">
        <v>1033</v>
      </c>
      <c r="C1807" s="5" t="s">
        <v>1017</v>
      </c>
      <c r="D1807" s="2" t="s">
        <v>1018</v>
      </c>
    </row>
    <row r="1808" spans="1:4" ht="13.05" customHeight="1" x14ac:dyDescent="0.3">
      <c r="A1808" s="2" t="s">
        <v>299</v>
      </c>
      <c r="B1808" s="2" t="s">
        <v>1033</v>
      </c>
      <c r="C1808" s="5" t="s">
        <v>1019</v>
      </c>
      <c r="D1808" s="2" t="s">
        <v>1020</v>
      </c>
    </row>
    <row r="1809" spans="1:4" ht="13.05" customHeight="1" x14ac:dyDescent="0.3">
      <c r="A1809" s="2" t="s">
        <v>299</v>
      </c>
      <c r="B1809" s="2" t="s">
        <v>1033</v>
      </c>
      <c r="C1809" s="5" t="s">
        <v>1021</v>
      </c>
      <c r="D1809" s="2" t="s">
        <v>3146</v>
      </c>
    </row>
    <row r="1810" spans="1:4" ht="13.05" customHeight="1" x14ac:dyDescent="0.3">
      <c r="A1810" s="2" t="s">
        <v>299</v>
      </c>
      <c r="B1810" s="2" t="s">
        <v>1033</v>
      </c>
      <c r="C1810" s="5" t="s">
        <v>1023</v>
      </c>
      <c r="D1810" s="2" t="s">
        <v>3147</v>
      </c>
    </row>
    <row r="1811" spans="1:4" ht="13.05" customHeight="1" x14ac:dyDescent="0.3">
      <c r="A1811" s="2" t="s">
        <v>299</v>
      </c>
      <c r="B1811" s="2" t="s">
        <v>1033</v>
      </c>
      <c r="C1811" s="5" t="s">
        <v>1025</v>
      </c>
      <c r="D1811" s="2" t="s">
        <v>3148</v>
      </c>
    </row>
    <row r="1812" spans="1:4" ht="13.05" customHeight="1" x14ac:dyDescent="0.3">
      <c r="A1812" s="2" t="s">
        <v>299</v>
      </c>
      <c r="B1812" s="2" t="s">
        <v>1033</v>
      </c>
      <c r="C1812" s="5" t="s">
        <v>1027</v>
      </c>
      <c r="D1812" s="2" t="s">
        <v>3149</v>
      </c>
    </row>
    <row r="1813" spans="1:4" ht="13.05" customHeight="1" x14ac:dyDescent="0.3">
      <c r="A1813" s="2" t="s">
        <v>299</v>
      </c>
      <c r="B1813" s="2" t="s">
        <v>1033</v>
      </c>
      <c r="C1813" s="5" t="s">
        <v>1029</v>
      </c>
      <c r="D1813" s="2" t="s">
        <v>3150</v>
      </c>
    </row>
    <row r="1814" spans="1:4" ht="13.05" customHeight="1" x14ac:dyDescent="0.3">
      <c r="A1814" s="2" t="s">
        <v>299</v>
      </c>
      <c r="B1814" s="2" t="s">
        <v>1033</v>
      </c>
      <c r="C1814" s="5" t="s">
        <v>1031</v>
      </c>
      <c r="D1814" s="2" t="s">
        <v>3151</v>
      </c>
    </row>
    <row r="1815" spans="1:4" ht="13.05" customHeight="1" x14ac:dyDescent="0.3">
      <c r="A1815" s="2" t="s">
        <v>299</v>
      </c>
      <c r="B1815" s="2" t="s">
        <v>1033</v>
      </c>
      <c r="C1815" s="5" t="s">
        <v>1040</v>
      </c>
      <c r="D1815" s="2" t="s">
        <v>3152</v>
      </c>
    </row>
    <row r="1816" spans="1:4" ht="13.05" customHeight="1" x14ac:dyDescent="0.3">
      <c r="A1816" s="2" t="s">
        <v>299</v>
      </c>
      <c r="B1816" s="2" t="s">
        <v>1033</v>
      </c>
      <c r="C1816" s="5" t="s">
        <v>1042</v>
      </c>
      <c r="D1816" s="2" t="s">
        <v>3153</v>
      </c>
    </row>
    <row r="1817" spans="1:4" ht="13.05" customHeight="1" x14ac:dyDescent="0.3">
      <c r="A1817" s="2" t="s">
        <v>299</v>
      </c>
      <c r="B1817" s="2" t="s">
        <v>1033</v>
      </c>
      <c r="C1817" s="5" t="s">
        <v>1061</v>
      </c>
      <c r="D1817" s="2" t="s">
        <v>3154</v>
      </c>
    </row>
    <row r="1818" spans="1:4" ht="13.05" customHeight="1" x14ac:dyDescent="0.3">
      <c r="A1818" s="2" t="s">
        <v>299</v>
      </c>
      <c r="B1818" s="2" t="s">
        <v>1033</v>
      </c>
      <c r="C1818" s="5" t="s">
        <v>1063</v>
      </c>
      <c r="D1818" s="2" t="s">
        <v>3155</v>
      </c>
    </row>
    <row r="1819" spans="1:4" ht="13.05" customHeight="1" x14ac:dyDescent="0.3">
      <c r="A1819" s="2" t="s">
        <v>299</v>
      </c>
      <c r="B1819" s="2" t="s">
        <v>1033</v>
      </c>
      <c r="C1819" s="5" t="s">
        <v>1065</v>
      </c>
      <c r="D1819" s="2" t="s">
        <v>3156</v>
      </c>
    </row>
    <row r="1820" spans="1:4" ht="13.05" customHeight="1" x14ac:dyDescent="0.3">
      <c r="A1820" s="2" t="s">
        <v>299</v>
      </c>
      <c r="B1820" s="2" t="s">
        <v>1033</v>
      </c>
      <c r="C1820" s="5" t="s">
        <v>1067</v>
      </c>
      <c r="D1820" s="2" t="s">
        <v>3157</v>
      </c>
    </row>
    <row r="1821" spans="1:4" ht="13.05" customHeight="1" x14ac:dyDescent="0.3">
      <c r="A1821" s="2" t="s">
        <v>302</v>
      </c>
      <c r="B1821" s="2" t="s">
        <v>1033</v>
      </c>
      <c r="C1821" s="5" t="s">
        <v>1015</v>
      </c>
      <c r="D1821" s="2" t="s">
        <v>1016</v>
      </c>
    </row>
    <row r="1822" spans="1:4" ht="13.05" customHeight="1" x14ac:dyDescent="0.3">
      <c r="A1822" s="2" t="s">
        <v>302</v>
      </c>
      <c r="B1822" s="2" t="s">
        <v>1033</v>
      </c>
      <c r="C1822" s="5" t="s">
        <v>1017</v>
      </c>
      <c r="D1822" s="2" t="s">
        <v>1018</v>
      </c>
    </row>
    <row r="1823" spans="1:4" ht="13.05" customHeight="1" x14ac:dyDescent="0.3">
      <c r="A1823" s="2" t="s">
        <v>302</v>
      </c>
      <c r="B1823" s="2" t="s">
        <v>1033</v>
      </c>
      <c r="C1823" s="5" t="s">
        <v>1019</v>
      </c>
      <c r="D1823" s="2" t="s">
        <v>1020</v>
      </c>
    </row>
    <row r="1824" spans="1:4" ht="13.05" customHeight="1" x14ac:dyDescent="0.3">
      <c r="A1824" s="2" t="s">
        <v>302</v>
      </c>
      <c r="B1824" s="2" t="s">
        <v>1033</v>
      </c>
      <c r="C1824" s="5" t="s">
        <v>1021</v>
      </c>
      <c r="D1824" s="2" t="s">
        <v>3146</v>
      </c>
    </row>
    <row r="1825" spans="1:4" ht="13.05" customHeight="1" x14ac:dyDescent="0.3">
      <c r="A1825" s="2" t="s">
        <v>302</v>
      </c>
      <c r="B1825" s="2" t="s">
        <v>1033</v>
      </c>
      <c r="C1825" s="5" t="s">
        <v>1023</v>
      </c>
      <c r="D1825" s="2" t="s">
        <v>3147</v>
      </c>
    </row>
    <row r="1826" spans="1:4" ht="13.05" customHeight="1" x14ac:dyDescent="0.3">
      <c r="A1826" s="2" t="s">
        <v>302</v>
      </c>
      <c r="B1826" s="2" t="s">
        <v>1033</v>
      </c>
      <c r="C1826" s="5" t="s">
        <v>1025</v>
      </c>
      <c r="D1826" s="2" t="s">
        <v>3148</v>
      </c>
    </row>
    <row r="1827" spans="1:4" ht="13.05" customHeight="1" x14ac:dyDescent="0.3">
      <c r="A1827" s="2" t="s">
        <v>302</v>
      </c>
      <c r="B1827" s="2" t="s">
        <v>1033</v>
      </c>
      <c r="C1827" s="5" t="s">
        <v>1027</v>
      </c>
      <c r="D1827" s="2" t="s">
        <v>3149</v>
      </c>
    </row>
    <row r="1828" spans="1:4" ht="13.05" customHeight="1" x14ac:dyDescent="0.3">
      <c r="A1828" s="2" t="s">
        <v>302</v>
      </c>
      <c r="B1828" s="2" t="s">
        <v>1033</v>
      </c>
      <c r="C1828" s="5" t="s">
        <v>1029</v>
      </c>
      <c r="D1828" s="2" t="s">
        <v>3150</v>
      </c>
    </row>
    <row r="1829" spans="1:4" ht="13.05" customHeight="1" x14ac:dyDescent="0.3">
      <c r="A1829" s="2" t="s">
        <v>302</v>
      </c>
      <c r="B1829" s="2" t="s">
        <v>1033</v>
      </c>
      <c r="C1829" s="5" t="s">
        <v>1031</v>
      </c>
      <c r="D1829" s="2" t="s">
        <v>3151</v>
      </c>
    </row>
    <row r="1830" spans="1:4" ht="13.05" customHeight="1" x14ac:dyDescent="0.3">
      <c r="A1830" s="2" t="s">
        <v>302</v>
      </c>
      <c r="B1830" s="2" t="s">
        <v>1033</v>
      </c>
      <c r="C1830" s="5" t="s">
        <v>1040</v>
      </c>
      <c r="D1830" s="2" t="s">
        <v>3152</v>
      </c>
    </row>
    <row r="1831" spans="1:4" ht="13.05" customHeight="1" x14ac:dyDescent="0.3">
      <c r="A1831" s="2" t="s">
        <v>302</v>
      </c>
      <c r="B1831" s="2" t="s">
        <v>1033</v>
      </c>
      <c r="C1831" s="5" t="s">
        <v>1042</v>
      </c>
      <c r="D1831" s="2" t="s">
        <v>3153</v>
      </c>
    </row>
    <row r="1832" spans="1:4" ht="13.05" customHeight="1" x14ac:dyDescent="0.3">
      <c r="A1832" s="2" t="s">
        <v>302</v>
      </c>
      <c r="B1832" s="2" t="s">
        <v>1033</v>
      </c>
      <c r="C1832" s="5" t="s">
        <v>1061</v>
      </c>
      <c r="D1832" s="2" t="s">
        <v>3154</v>
      </c>
    </row>
    <row r="1833" spans="1:4" ht="13.05" customHeight="1" x14ac:dyDescent="0.3">
      <c r="A1833" s="2" t="s">
        <v>302</v>
      </c>
      <c r="B1833" s="2" t="s">
        <v>1033</v>
      </c>
      <c r="C1833" s="5" t="s">
        <v>1063</v>
      </c>
      <c r="D1833" s="2" t="s">
        <v>3155</v>
      </c>
    </row>
    <row r="1834" spans="1:4" ht="13.05" customHeight="1" x14ac:dyDescent="0.3">
      <c r="A1834" s="2" t="s">
        <v>302</v>
      </c>
      <c r="B1834" s="2" t="s">
        <v>1033</v>
      </c>
      <c r="C1834" s="5" t="s">
        <v>1065</v>
      </c>
      <c r="D1834" s="2" t="s">
        <v>3156</v>
      </c>
    </row>
    <row r="1835" spans="1:4" ht="13.05" customHeight="1" x14ac:dyDescent="0.3">
      <c r="A1835" s="2" t="s">
        <v>302</v>
      </c>
      <c r="B1835" s="2" t="s">
        <v>1033</v>
      </c>
      <c r="C1835" s="5" t="s">
        <v>1067</v>
      </c>
      <c r="D1835" s="2" t="s">
        <v>3157</v>
      </c>
    </row>
    <row r="1836" spans="1:4" ht="13.05" customHeight="1" x14ac:dyDescent="0.3">
      <c r="A1836" s="2" t="s">
        <v>305</v>
      </c>
      <c r="B1836" s="2" t="s">
        <v>1033</v>
      </c>
      <c r="C1836" s="5" t="s">
        <v>1015</v>
      </c>
      <c r="D1836" s="2" t="s">
        <v>1016</v>
      </c>
    </row>
    <row r="1837" spans="1:4" ht="13.05" customHeight="1" x14ac:dyDescent="0.3">
      <c r="A1837" s="2" t="s">
        <v>305</v>
      </c>
      <c r="B1837" s="2" t="s">
        <v>1033</v>
      </c>
      <c r="C1837" s="5" t="s">
        <v>1017</v>
      </c>
      <c r="D1837" s="2" t="s">
        <v>1018</v>
      </c>
    </row>
    <row r="1838" spans="1:4" ht="13.05" customHeight="1" x14ac:dyDescent="0.3">
      <c r="A1838" s="2" t="s">
        <v>305</v>
      </c>
      <c r="B1838" s="2" t="s">
        <v>1033</v>
      </c>
      <c r="C1838" s="5" t="s">
        <v>1019</v>
      </c>
      <c r="D1838" s="2" t="s">
        <v>1020</v>
      </c>
    </row>
    <row r="1839" spans="1:4" ht="13.05" customHeight="1" x14ac:dyDescent="0.3">
      <c r="A1839" s="2" t="s">
        <v>305</v>
      </c>
      <c r="B1839" s="2" t="s">
        <v>1033</v>
      </c>
      <c r="C1839" s="5" t="s">
        <v>1021</v>
      </c>
      <c r="D1839" s="2" t="s">
        <v>3146</v>
      </c>
    </row>
    <row r="1840" spans="1:4" ht="13.05" customHeight="1" x14ac:dyDescent="0.3">
      <c r="A1840" s="2" t="s">
        <v>305</v>
      </c>
      <c r="B1840" s="2" t="s">
        <v>1033</v>
      </c>
      <c r="C1840" s="5" t="s">
        <v>1023</v>
      </c>
      <c r="D1840" s="2" t="s">
        <v>3147</v>
      </c>
    </row>
    <row r="1841" spans="1:4" ht="13.05" customHeight="1" x14ac:dyDescent="0.3">
      <c r="A1841" s="2" t="s">
        <v>305</v>
      </c>
      <c r="B1841" s="2" t="s">
        <v>1033</v>
      </c>
      <c r="C1841" s="5" t="s">
        <v>1025</v>
      </c>
      <c r="D1841" s="2" t="s">
        <v>3148</v>
      </c>
    </row>
    <row r="1842" spans="1:4" ht="13.05" customHeight="1" x14ac:dyDescent="0.3">
      <c r="A1842" s="2" t="s">
        <v>305</v>
      </c>
      <c r="B1842" s="2" t="s">
        <v>1033</v>
      </c>
      <c r="C1842" s="5" t="s">
        <v>1027</v>
      </c>
      <c r="D1842" s="2" t="s">
        <v>3149</v>
      </c>
    </row>
    <row r="1843" spans="1:4" ht="13.05" customHeight="1" x14ac:dyDescent="0.3">
      <c r="A1843" s="2" t="s">
        <v>305</v>
      </c>
      <c r="B1843" s="2" t="s">
        <v>1033</v>
      </c>
      <c r="C1843" s="5" t="s">
        <v>1029</v>
      </c>
      <c r="D1843" s="2" t="s">
        <v>3150</v>
      </c>
    </row>
    <row r="1844" spans="1:4" ht="13.05" customHeight="1" x14ac:dyDescent="0.3">
      <c r="A1844" s="2" t="s">
        <v>305</v>
      </c>
      <c r="B1844" s="2" t="s">
        <v>1033</v>
      </c>
      <c r="C1844" s="5" t="s">
        <v>1031</v>
      </c>
      <c r="D1844" s="2" t="s">
        <v>3151</v>
      </c>
    </row>
    <row r="1845" spans="1:4" ht="13.05" customHeight="1" x14ac:dyDescent="0.3">
      <c r="A1845" s="2" t="s">
        <v>305</v>
      </c>
      <c r="B1845" s="2" t="s">
        <v>1033</v>
      </c>
      <c r="C1845" s="5" t="s">
        <v>1040</v>
      </c>
      <c r="D1845" s="2" t="s">
        <v>3152</v>
      </c>
    </row>
    <row r="1846" spans="1:4" ht="13.05" customHeight="1" x14ac:dyDescent="0.3">
      <c r="A1846" s="2" t="s">
        <v>305</v>
      </c>
      <c r="B1846" s="2" t="s">
        <v>1033</v>
      </c>
      <c r="C1846" s="5" t="s">
        <v>1042</v>
      </c>
      <c r="D1846" s="2" t="s">
        <v>3153</v>
      </c>
    </row>
    <row r="1847" spans="1:4" ht="13.05" customHeight="1" x14ac:dyDescent="0.3">
      <c r="A1847" s="2" t="s">
        <v>305</v>
      </c>
      <c r="B1847" s="2" t="s">
        <v>1033</v>
      </c>
      <c r="C1847" s="5" t="s">
        <v>1061</v>
      </c>
      <c r="D1847" s="2" t="s">
        <v>3154</v>
      </c>
    </row>
    <row r="1848" spans="1:4" ht="13.05" customHeight="1" x14ac:dyDescent="0.3">
      <c r="A1848" s="2" t="s">
        <v>305</v>
      </c>
      <c r="B1848" s="2" t="s">
        <v>1033</v>
      </c>
      <c r="C1848" s="5" t="s">
        <v>1063</v>
      </c>
      <c r="D1848" s="2" t="s">
        <v>3155</v>
      </c>
    </row>
    <row r="1849" spans="1:4" ht="13.05" customHeight="1" x14ac:dyDescent="0.3">
      <c r="A1849" s="2" t="s">
        <v>305</v>
      </c>
      <c r="B1849" s="2" t="s">
        <v>1033</v>
      </c>
      <c r="C1849" s="5" t="s">
        <v>1065</v>
      </c>
      <c r="D1849" s="2" t="s">
        <v>3156</v>
      </c>
    </row>
    <row r="1850" spans="1:4" ht="13.05" customHeight="1" x14ac:dyDescent="0.3">
      <c r="A1850" s="2" t="s">
        <v>305</v>
      </c>
      <c r="B1850" s="2" t="s">
        <v>1033</v>
      </c>
      <c r="C1850" s="5" t="s">
        <v>1067</v>
      </c>
      <c r="D1850" s="2" t="s">
        <v>3157</v>
      </c>
    </row>
    <row r="1851" spans="1:4" ht="13.05" customHeight="1" x14ac:dyDescent="0.3">
      <c r="A1851" s="2" t="s">
        <v>308</v>
      </c>
      <c r="B1851" s="2" t="s">
        <v>1033</v>
      </c>
      <c r="C1851" s="5" t="s">
        <v>1015</v>
      </c>
      <c r="D1851" s="2" t="s">
        <v>1092</v>
      </c>
    </row>
    <row r="1852" spans="1:4" ht="13.05" customHeight="1" x14ac:dyDescent="0.3">
      <c r="A1852" s="2" t="s">
        <v>308</v>
      </c>
      <c r="B1852" s="2" t="s">
        <v>1033</v>
      </c>
      <c r="C1852" s="5" t="s">
        <v>1017</v>
      </c>
      <c r="D1852" s="2" t="s">
        <v>1018</v>
      </c>
    </row>
    <row r="1853" spans="1:4" ht="13.05" customHeight="1" x14ac:dyDescent="0.3">
      <c r="A1853" s="2" t="s">
        <v>308</v>
      </c>
      <c r="B1853" s="2" t="s">
        <v>1033</v>
      </c>
      <c r="C1853" s="5" t="s">
        <v>1021</v>
      </c>
      <c r="D1853" s="2" t="s">
        <v>3158</v>
      </c>
    </row>
    <row r="1854" spans="1:4" ht="13.05" customHeight="1" x14ac:dyDescent="0.3">
      <c r="A1854" s="2" t="s">
        <v>308</v>
      </c>
      <c r="B1854" s="2" t="s">
        <v>1033</v>
      </c>
      <c r="C1854" s="5" t="s">
        <v>1023</v>
      </c>
      <c r="D1854" s="2" t="s">
        <v>3159</v>
      </c>
    </row>
    <row r="1855" spans="1:4" ht="13.05" customHeight="1" x14ac:dyDescent="0.3">
      <c r="A1855" s="2" t="s">
        <v>308</v>
      </c>
      <c r="B1855" s="2" t="s">
        <v>1033</v>
      </c>
      <c r="C1855" s="5" t="s">
        <v>1052</v>
      </c>
      <c r="D1855" s="2" t="s">
        <v>3160</v>
      </c>
    </row>
    <row r="1856" spans="1:4" ht="13.05" customHeight="1" x14ac:dyDescent="0.3">
      <c r="A1856" s="2" t="s">
        <v>313</v>
      </c>
      <c r="B1856" s="2" t="s">
        <v>1033</v>
      </c>
      <c r="C1856" s="5" t="s">
        <v>1044</v>
      </c>
      <c r="D1856" s="2" t="s">
        <v>1045</v>
      </c>
    </row>
    <row r="1857" spans="1:4" ht="13.05" customHeight="1" x14ac:dyDescent="0.3">
      <c r="A1857" s="2" t="s">
        <v>313</v>
      </c>
      <c r="B1857" s="2" t="s">
        <v>1033</v>
      </c>
      <c r="C1857" s="5" t="s">
        <v>1019</v>
      </c>
      <c r="D1857" s="2" t="s">
        <v>1020</v>
      </c>
    </row>
    <row r="1858" spans="1:4" ht="13.05" customHeight="1" x14ac:dyDescent="0.3">
      <c r="A1858" s="2" t="s">
        <v>316</v>
      </c>
      <c r="B1858" s="2" t="s">
        <v>1033</v>
      </c>
      <c r="C1858" s="5" t="s">
        <v>1015</v>
      </c>
      <c r="D1858" s="2" t="s">
        <v>1092</v>
      </c>
    </row>
    <row r="1859" spans="1:4" ht="13.05" customHeight="1" x14ac:dyDescent="0.3">
      <c r="A1859" s="2" t="s">
        <v>316</v>
      </c>
      <c r="B1859" s="2" t="s">
        <v>1033</v>
      </c>
      <c r="C1859" s="5" t="s">
        <v>1017</v>
      </c>
      <c r="D1859" s="2" t="s">
        <v>1086</v>
      </c>
    </row>
    <row r="1860" spans="1:4" ht="13.05" customHeight="1" x14ac:dyDescent="0.3">
      <c r="A1860" s="2" t="s">
        <v>316</v>
      </c>
      <c r="B1860" s="2" t="s">
        <v>1033</v>
      </c>
      <c r="C1860" s="5" t="s">
        <v>1019</v>
      </c>
      <c r="D1860" s="2" t="s">
        <v>1020</v>
      </c>
    </row>
    <row r="1861" spans="1:4" ht="13.05" customHeight="1" x14ac:dyDescent="0.3">
      <c r="A1861" s="2" t="s">
        <v>322</v>
      </c>
      <c r="B1861" s="2" t="s">
        <v>1199</v>
      </c>
      <c r="C1861" s="5" t="s">
        <v>1015</v>
      </c>
      <c r="D1861" s="2" t="s">
        <v>1092</v>
      </c>
    </row>
    <row r="1862" spans="1:4" ht="13.05" customHeight="1" x14ac:dyDescent="0.3">
      <c r="A1862" s="2" t="s">
        <v>322</v>
      </c>
      <c r="B1862" s="2" t="s">
        <v>1199</v>
      </c>
      <c r="C1862" s="5" t="s">
        <v>1017</v>
      </c>
      <c r="D1862" s="2" t="s">
        <v>1086</v>
      </c>
    </row>
    <row r="1863" spans="1:4" ht="13.05" customHeight="1" x14ac:dyDescent="0.3">
      <c r="A1863" s="2" t="s">
        <v>322</v>
      </c>
      <c r="B1863" s="2" t="s">
        <v>1199</v>
      </c>
      <c r="C1863" s="5" t="s">
        <v>1019</v>
      </c>
      <c r="D1863" s="2" t="s">
        <v>1020</v>
      </c>
    </row>
    <row r="1864" spans="1:4" ht="13.05" customHeight="1" x14ac:dyDescent="0.3">
      <c r="A1864" s="2" t="s">
        <v>325</v>
      </c>
      <c r="B1864" s="2" t="s">
        <v>1199</v>
      </c>
      <c r="C1864" s="5" t="s">
        <v>1019</v>
      </c>
      <c r="D1864" s="2" t="s">
        <v>1020</v>
      </c>
    </row>
    <row r="1865" spans="1:4" ht="13.05" customHeight="1" x14ac:dyDescent="0.3">
      <c r="A1865" s="2" t="s">
        <v>328</v>
      </c>
      <c r="B1865" s="2" t="s">
        <v>1033</v>
      </c>
      <c r="C1865" s="5" t="s">
        <v>3099</v>
      </c>
      <c r="D1865" s="2" t="s">
        <v>3161</v>
      </c>
    </row>
    <row r="1866" spans="1:4" ht="13.05" customHeight="1" x14ac:dyDescent="0.3">
      <c r="A1866" s="2" t="s">
        <v>328</v>
      </c>
      <c r="B1866" s="2" t="s">
        <v>1033</v>
      </c>
      <c r="C1866" s="5" t="s">
        <v>3162</v>
      </c>
      <c r="D1866" s="2" t="s">
        <v>3163</v>
      </c>
    </row>
    <row r="1867" spans="1:4" ht="13.05" customHeight="1" x14ac:dyDescent="0.3">
      <c r="A1867" s="2" t="s">
        <v>328</v>
      </c>
      <c r="B1867" s="2" t="s">
        <v>1033</v>
      </c>
      <c r="C1867" s="5" t="s">
        <v>3164</v>
      </c>
      <c r="D1867" s="2" t="s">
        <v>3165</v>
      </c>
    </row>
    <row r="1868" spans="1:4" ht="13.05" customHeight="1" x14ac:dyDescent="0.3">
      <c r="A1868" s="2" t="s">
        <v>328</v>
      </c>
      <c r="B1868" s="2" t="s">
        <v>1033</v>
      </c>
      <c r="C1868" s="5" t="s">
        <v>3166</v>
      </c>
      <c r="D1868" s="2" t="s">
        <v>3167</v>
      </c>
    </row>
    <row r="1869" spans="1:4" ht="13.05" customHeight="1" x14ac:dyDescent="0.3">
      <c r="A1869" s="2" t="s">
        <v>328</v>
      </c>
      <c r="B1869" s="2" t="s">
        <v>1033</v>
      </c>
      <c r="C1869" s="5" t="s">
        <v>1243</v>
      </c>
      <c r="D1869" s="2" t="s">
        <v>1244</v>
      </c>
    </row>
    <row r="1870" spans="1:4" ht="13.05" customHeight="1" x14ac:dyDescent="0.3">
      <c r="A1870" s="2" t="s">
        <v>328</v>
      </c>
      <c r="B1870" s="2" t="s">
        <v>1033</v>
      </c>
      <c r="C1870" s="5" t="s">
        <v>1245</v>
      </c>
      <c r="D1870" s="2" t="s">
        <v>1246</v>
      </c>
    </row>
    <row r="1871" spans="1:4" ht="13.05" customHeight="1" x14ac:dyDescent="0.3">
      <c r="A1871" s="2" t="s">
        <v>328</v>
      </c>
      <c r="B1871" s="2" t="s">
        <v>1033</v>
      </c>
      <c r="C1871" s="5" t="s">
        <v>1247</v>
      </c>
      <c r="D1871" s="2" t="s">
        <v>1248</v>
      </c>
    </row>
    <row r="1872" spans="1:4" ht="13.05" customHeight="1" x14ac:dyDescent="0.3">
      <c r="A1872" s="2" t="s">
        <v>328</v>
      </c>
      <c r="B1872" s="2" t="s">
        <v>1033</v>
      </c>
      <c r="C1872" s="5" t="s">
        <v>3168</v>
      </c>
      <c r="D1872" s="2" t="s">
        <v>3169</v>
      </c>
    </row>
    <row r="1873" spans="1:4" ht="13.05" customHeight="1" x14ac:dyDescent="0.3">
      <c r="A1873" s="2" t="s">
        <v>332</v>
      </c>
      <c r="B1873" s="2" t="s">
        <v>1033</v>
      </c>
      <c r="C1873" s="5" t="s">
        <v>1044</v>
      </c>
      <c r="D1873" s="2" t="s">
        <v>1045</v>
      </c>
    </row>
    <row r="1874" spans="1:4" ht="13.05" customHeight="1" x14ac:dyDescent="0.3">
      <c r="A1874" s="2" t="s">
        <v>332</v>
      </c>
      <c r="B1874" s="2" t="s">
        <v>1033</v>
      </c>
      <c r="C1874" s="5" t="s">
        <v>1219</v>
      </c>
      <c r="D1874" s="2" t="s">
        <v>1220</v>
      </c>
    </row>
    <row r="1875" spans="1:4" ht="13.05" customHeight="1" x14ac:dyDescent="0.3">
      <c r="A1875" s="2" t="s">
        <v>332</v>
      </c>
      <c r="B1875" s="2" t="s">
        <v>1033</v>
      </c>
      <c r="C1875" s="5" t="s">
        <v>1029</v>
      </c>
      <c r="D1875" s="2" t="s">
        <v>1221</v>
      </c>
    </row>
    <row r="1876" spans="1:4" ht="13.05" customHeight="1" x14ac:dyDescent="0.3">
      <c r="A1876" s="2" t="s">
        <v>332</v>
      </c>
      <c r="B1876" s="2" t="s">
        <v>1033</v>
      </c>
      <c r="C1876" s="5" t="s">
        <v>1222</v>
      </c>
      <c r="D1876" s="2" t="s">
        <v>1223</v>
      </c>
    </row>
    <row r="1877" spans="1:4" ht="13.05" customHeight="1" x14ac:dyDescent="0.3">
      <c r="A1877" s="2" t="s">
        <v>332</v>
      </c>
      <c r="B1877" s="2" t="s">
        <v>1033</v>
      </c>
      <c r="C1877" s="5" t="s">
        <v>1224</v>
      </c>
      <c r="D1877" s="2" t="s">
        <v>1225</v>
      </c>
    </row>
    <row r="1878" spans="1:4" ht="13.05" customHeight="1" x14ac:dyDescent="0.3">
      <c r="A1878" s="2" t="s">
        <v>332</v>
      </c>
      <c r="B1878" s="2" t="s">
        <v>1033</v>
      </c>
      <c r="C1878" s="5" t="s">
        <v>1226</v>
      </c>
      <c r="D1878" s="2" t="s">
        <v>1227</v>
      </c>
    </row>
    <row r="1879" spans="1:4" ht="13.05" customHeight="1" x14ac:dyDescent="0.3">
      <c r="A1879" s="2" t="s">
        <v>332</v>
      </c>
      <c r="B1879" s="2" t="s">
        <v>1033</v>
      </c>
      <c r="C1879" s="5" t="s">
        <v>1228</v>
      </c>
      <c r="D1879" s="2" t="s">
        <v>1229</v>
      </c>
    </row>
    <row r="1880" spans="1:4" ht="13.05" customHeight="1" x14ac:dyDescent="0.3">
      <c r="A1880" s="2" t="s">
        <v>332</v>
      </c>
      <c r="B1880" s="2" t="s">
        <v>1033</v>
      </c>
      <c r="C1880" s="5" t="s">
        <v>1230</v>
      </c>
      <c r="D1880" s="2" t="s">
        <v>1231</v>
      </c>
    </row>
    <row r="1881" spans="1:4" ht="13.05" customHeight="1" x14ac:dyDescent="0.3">
      <c r="A1881" s="2" t="s">
        <v>332</v>
      </c>
      <c r="B1881" s="2" t="s">
        <v>1033</v>
      </c>
      <c r="C1881" s="5" t="s">
        <v>1232</v>
      </c>
      <c r="D1881" s="2" t="s">
        <v>1233</v>
      </c>
    </row>
    <row r="1882" spans="1:4" ht="13.05" customHeight="1" x14ac:dyDescent="0.3">
      <c r="A1882" s="2" t="s">
        <v>332</v>
      </c>
      <c r="B1882" s="2" t="s">
        <v>1033</v>
      </c>
      <c r="C1882" s="5" t="s">
        <v>1234</v>
      </c>
      <c r="D1882" s="2" t="s">
        <v>1235</v>
      </c>
    </row>
    <row r="1883" spans="1:4" ht="13.05" customHeight="1" x14ac:dyDescent="0.3">
      <c r="A1883" s="2" t="s">
        <v>332</v>
      </c>
      <c r="B1883" s="2" t="s">
        <v>1033</v>
      </c>
      <c r="C1883" s="5" t="s">
        <v>1236</v>
      </c>
      <c r="D1883" s="2" t="s">
        <v>1237</v>
      </c>
    </row>
    <row r="1884" spans="1:4" ht="13.05" customHeight="1" x14ac:dyDescent="0.3">
      <c r="A1884" s="2" t="s">
        <v>332</v>
      </c>
      <c r="B1884" s="2" t="s">
        <v>1033</v>
      </c>
      <c r="C1884" s="5" t="s">
        <v>1238</v>
      </c>
      <c r="D1884" s="2" t="s">
        <v>1239</v>
      </c>
    </row>
    <row r="1885" spans="1:4" ht="13.05" customHeight="1" x14ac:dyDescent="0.3">
      <c r="A1885" s="2" t="s">
        <v>334</v>
      </c>
      <c r="B1885" s="2" t="s">
        <v>1033</v>
      </c>
      <c r="C1885" s="5" t="s">
        <v>1044</v>
      </c>
      <c r="D1885" s="2" t="s">
        <v>1045</v>
      </c>
    </row>
    <row r="1886" spans="1:4" ht="13.05" customHeight="1" x14ac:dyDescent="0.3">
      <c r="A1886" s="2" t="s">
        <v>336</v>
      </c>
      <c r="B1886" s="2" t="s">
        <v>1033</v>
      </c>
      <c r="C1886" s="5" t="s">
        <v>1228</v>
      </c>
      <c r="D1886" s="2" t="s">
        <v>1240</v>
      </c>
    </row>
    <row r="1887" spans="1:4" ht="13.05" customHeight="1" x14ac:dyDescent="0.3">
      <c r="A1887" s="2" t="s">
        <v>336</v>
      </c>
      <c r="B1887" s="2" t="s">
        <v>1033</v>
      </c>
      <c r="C1887" s="5" t="s">
        <v>1241</v>
      </c>
      <c r="D1887" s="2" t="s">
        <v>1242</v>
      </c>
    </row>
    <row r="1888" spans="1:4" ht="13.05" customHeight="1" x14ac:dyDescent="0.3">
      <c r="A1888" s="2" t="s">
        <v>336</v>
      </c>
      <c r="B1888" s="2" t="s">
        <v>1033</v>
      </c>
      <c r="C1888" s="5" t="s">
        <v>1243</v>
      </c>
      <c r="D1888" s="2" t="s">
        <v>1244</v>
      </c>
    </row>
    <row r="1889" spans="1:4" ht="13.05" customHeight="1" x14ac:dyDescent="0.3">
      <c r="A1889" s="2" t="s">
        <v>336</v>
      </c>
      <c r="B1889" s="2" t="s">
        <v>1033</v>
      </c>
      <c r="C1889" s="5" t="s">
        <v>1245</v>
      </c>
      <c r="D1889" s="2" t="s">
        <v>1246</v>
      </c>
    </row>
    <row r="1890" spans="1:4" ht="13.05" customHeight="1" x14ac:dyDescent="0.3">
      <c r="A1890" s="2" t="s">
        <v>336</v>
      </c>
      <c r="B1890" s="2" t="s">
        <v>1033</v>
      </c>
      <c r="C1890" s="5" t="s">
        <v>1247</v>
      </c>
      <c r="D1890" s="2" t="s">
        <v>1248</v>
      </c>
    </row>
    <row r="1891" spans="1:4" ht="13.05" customHeight="1" x14ac:dyDescent="0.3">
      <c r="A1891" s="2" t="s">
        <v>336</v>
      </c>
      <c r="B1891" s="2" t="s">
        <v>1033</v>
      </c>
      <c r="C1891" s="5" t="s">
        <v>1249</v>
      </c>
      <c r="D1891" s="2" t="s">
        <v>1250</v>
      </c>
    </row>
    <row r="1892" spans="1:4" ht="13.05" customHeight="1" x14ac:dyDescent="0.3">
      <c r="A1892" s="2" t="s">
        <v>336</v>
      </c>
      <c r="B1892" s="2" t="s">
        <v>1033</v>
      </c>
      <c r="C1892" s="5" t="s">
        <v>1251</v>
      </c>
      <c r="D1892" s="2" t="s">
        <v>1252</v>
      </c>
    </row>
    <row r="1893" spans="1:4" ht="13.05" customHeight="1" x14ac:dyDescent="0.3">
      <c r="A1893" s="2" t="s">
        <v>336</v>
      </c>
      <c r="B1893" s="2" t="s">
        <v>1033</v>
      </c>
      <c r="C1893" s="5" t="s">
        <v>1253</v>
      </c>
      <c r="D1893" s="2" t="s">
        <v>1254</v>
      </c>
    </row>
    <row r="1894" spans="1:4" ht="13.05" customHeight="1" x14ac:dyDescent="0.3">
      <c r="A1894" s="2" t="s">
        <v>340</v>
      </c>
      <c r="B1894" s="2" t="s">
        <v>1033</v>
      </c>
      <c r="C1894" s="5" t="s">
        <v>1228</v>
      </c>
      <c r="D1894" s="2" t="s">
        <v>1240</v>
      </c>
    </row>
    <row r="1895" spans="1:4" ht="13.05" customHeight="1" x14ac:dyDescent="0.3">
      <c r="A1895" s="2" t="s">
        <v>340</v>
      </c>
      <c r="B1895" s="2" t="s">
        <v>1033</v>
      </c>
      <c r="C1895" s="5" t="s">
        <v>1241</v>
      </c>
      <c r="D1895" s="2" t="s">
        <v>1242</v>
      </c>
    </row>
    <row r="1896" spans="1:4" ht="13.05" customHeight="1" x14ac:dyDescent="0.3">
      <c r="A1896" s="2" t="s">
        <v>340</v>
      </c>
      <c r="B1896" s="2" t="s">
        <v>1033</v>
      </c>
      <c r="C1896" s="5" t="s">
        <v>1243</v>
      </c>
      <c r="D1896" s="2" t="s">
        <v>1244</v>
      </c>
    </row>
    <row r="1897" spans="1:4" ht="13.05" customHeight="1" x14ac:dyDescent="0.3">
      <c r="A1897" s="2" t="s">
        <v>340</v>
      </c>
      <c r="B1897" s="2" t="s">
        <v>1033</v>
      </c>
      <c r="C1897" s="5" t="s">
        <v>1245</v>
      </c>
      <c r="D1897" s="2" t="s">
        <v>1246</v>
      </c>
    </row>
    <row r="1898" spans="1:4" ht="13.05" customHeight="1" x14ac:dyDescent="0.3">
      <c r="A1898" s="2" t="s">
        <v>340</v>
      </c>
      <c r="B1898" s="2" t="s">
        <v>1033</v>
      </c>
      <c r="C1898" s="5" t="s">
        <v>1247</v>
      </c>
      <c r="D1898" s="2" t="s">
        <v>1248</v>
      </c>
    </row>
    <row r="1899" spans="1:4" ht="13.05" customHeight="1" x14ac:dyDescent="0.3">
      <c r="A1899" s="2" t="s">
        <v>340</v>
      </c>
      <c r="B1899" s="2" t="s">
        <v>1033</v>
      </c>
      <c r="C1899" s="5" t="s">
        <v>1249</v>
      </c>
      <c r="D1899" s="2" t="s">
        <v>1250</v>
      </c>
    </row>
    <row r="1900" spans="1:4" ht="13.05" customHeight="1" x14ac:dyDescent="0.3">
      <c r="A1900" s="2" t="s">
        <v>340</v>
      </c>
      <c r="B1900" s="2" t="s">
        <v>1033</v>
      </c>
      <c r="C1900" s="5" t="s">
        <v>1251</v>
      </c>
      <c r="D1900" s="2" t="s">
        <v>1252</v>
      </c>
    </row>
    <row r="1901" spans="1:4" ht="13.05" customHeight="1" x14ac:dyDescent="0.3">
      <c r="A1901" s="2" t="s">
        <v>340</v>
      </c>
      <c r="B1901" s="2" t="s">
        <v>1033</v>
      </c>
      <c r="C1901" s="5" t="s">
        <v>1253</v>
      </c>
      <c r="D1901" s="2" t="s">
        <v>1254</v>
      </c>
    </row>
    <row r="1902" spans="1:4" ht="13.05" customHeight="1" x14ac:dyDescent="0.3">
      <c r="A1902" s="2" t="s">
        <v>344</v>
      </c>
      <c r="B1902" s="2" t="s">
        <v>1054</v>
      </c>
      <c r="C1902" s="5" t="s">
        <v>1021</v>
      </c>
      <c r="D1902" s="2" t="s">
        <v>1106</v>
      </c>
    </row>
    <row r="1903" spans="1:4" ht="13.05" customHeight="1" x14ac:dyDescent="0.3">
      <c r="A1903" s="2" t="s">
        <v>344</v>
      </c>
      <c r="B1903" s="2" t="s">
        <v>1054</v>
      </c>
      <c r="C1903" s="5" t="s">
        <v>1023</v>
      </c>
      <c r="D1903" s="2" t="s">
        <v>1107</v>
      </c>
    </row>
    <row r="1904" spans="1:4" ht="13.05" customHeight="1" x14ac:dyDescent="0.3">
      <c r="A1904" s="2" t="s">
        <v>346</v>
      </c>
      <c r="B1904" s="2" t="s">
        <v>1033</v>
      </c>
      <c r="C1904" s="5" t="s">
        <v>1015</v>
      </c>
      <c r="D1904" s="2" t="s">
        <v>1016</v>
      </c>
    </row>
    <row r="1905" spans="1:4" ht="13.05" customHeight="1" x14ac:dyDescent="0.3">
      <c r="A1905" s="2" t="s">
        <v>346</v>
      </c>
      <c r="B1905" s="2" t="s">
        <v>1033</v>
      </c>
      <c r="C1905" s="5" t="s">
        <v>1017</v>
      </c>
      <c r="D1905" s="2" t="s">
        <v>1018</v>
      </c>
    </row>
    <row r="1906" spans="1:4" ht="13.05" customHeight="1" x14ac:dyDescent="0.3">
      <c r="A1906" s="2" t="s">
        <v>346</v>
      </c>
      <c r="B1906" s="2" t="s">
        <v>1033</v>
      </c>
      <c r="C1906" s="5" t="s">
        <v>1019</v>
      </c>
      <c r="D1906" s="2" t="s">
        <v>1020</v>
      </c>
    </row>
    <row r="1907" spans="1:4" ht="13.05" customHeight="1" x14ac:dyDescent="0.3">
      <c r="A1907" s="2" t="s">
        <v>346</v>
      </c>
      <c r="B1907" s="2" t="s">
        <v>1033</v>
      </c>
      <c r="C1907" s="5" t="s">
        <v>1021</v>
      </c>
      <c r="D1907" s="2" t="s">
        <v>3170</v>
      </c>
    </row>
    <row r="1908" spans="1:4" ht="13.05" customHeight="1" x14ac:dyDescent="0.3">
      <c r="A1908" s="2" t="s">
        <v>346</v>
      </c>
      <c r="B1908" s="2" t="s">
        <v>1033</v>
      </c>
      <c r="C1908" s="5" t="s">
        <v>1023</v>
      </c>
      <c r="D1908" s="2" t="s">
        <v>3171</v>
      </c>
    </row>
    <row r="1909" spans="1:4" ht="13.05" customHeight="1" x14ac:dyDescent="0.3">
      <c r="A1909" s="2" t="s">
        <v>346</v>
      </c>
      <c r="B1909" s="2" t="s">
        <v>1033</v>
      </c>
      <c r="C1909" s="5" t="s">
        <v>1025</v>
      </c>
      <c r="D1909" s="2" t="s">
        <v>3172</v>
      </c>
    </row>
    <row r="1910" spans="1:4" ht="13.05" customHeight="1" x14ac:dyDescent="0.3">
      <c r="A1910" s="2" t="s">
        <v>346</v>
      </c>
      <c r="B1910" s="2" t="s">
        <v>1033</v>
      </c>
      <c r="C1910" s="5" t="s">
        <v>1027</v>
      </c>
      <c r="D1910" s="2" t="s">
        <v>3173</v>
      </c>
    </row>
    <row r="1911" spans="1:4" ht="13.05" customHeight="1" x14ac:dyDescent="0.3">
      <c r="A1911" s="2" t="s">
        <v>346</v>
      </c>
      <c r="B1911" s="2" t="s">
        <v>1033</v>
      </c>
      <c r="C1911" s="5" t="s">
        <v>1029</v>
      </c>
      <c r="D1911" s="2" t="s">
        <v>3174</v>
      </c>
    </row>
    <row r="1912" spans="1:4" ht="13.05" customHeight="1" x14ac:dyDescent="0.3">
      <c r="A1912" s="2" t="s">
        <v>346</v>
      </c>
      <c r="B1912" s="2" t="s">
        <v>1033</v>
      </c>
      <c r="C1912" s="5" t="s">
        <v>1031</v>
      </c>
      <c r="D1912" s="2" t="s">
        <v>3175</v>
      </c>
    </row>
    <row r="1913" spans="1:4" ht="13.05" customHeight="1" x14ac:dyDescent="0.3">
      <c r="A1913" s="2" t="s">
        <v>346</v>
      </c>
      <c r="B1913" s="2" t="s">
        <v>1033</v>
      </c>
      <c r="C1913" s="5" t="s">
        <v>1040</v>
      </c>
      <c r="D1913" s="2" t="s">
        <v>3176</v>
      </c>
    </row>
    <row r="1914" spans="1:4" ht="13.05" customHeight="1" x14ac:dyDescent="0.3">
      <c r="A1914" s="2" t="s">
        <v>346</v>
      </c>
      <c r="B1914" s="2" t="s">
        <v>1033</v>
      </c>
      <c r="C1914" s="5" t="s">
        <v>1042</v>
      </c>
      <c r="D1914" s="2" t="s">
        <v>3177</v>
      </c>
    </row>
    <row r="1915" spans="1:4" ht="13.05" customHeight="1" x14ac:dyDescent="0.3">
      <c r="A1915" s="2" t="s">
        <v>346</v>
      </c>
      <c r="B1915" s="2" t="s">
        <v>1033</v>
      </c>
      <c r="C1915" s="5" t="s">
        <v>1061</v>
      </c>
      <c r="D1915" s="2" t="s">
        <v>3178</v>
      </c>
    </row>
    <row r="1916" spans="1:4" ht="13.05" customHeight="1" x14ac:dyDescent="0.3">
      <c r="A1916" s="2" t="s">
        <v>346</v>
      </c>
      <c r="B1916" s="2" t="s">
        <v>1033</v>
      </c>
      <c r="C1916" s="5" t="s">
        <v>1063</v>
      </c>
      <c r="D1916" s="2" t="s">
        <v>3179</v>
      </c>
    </row>
    <row r="1917" spans="1:4" ht="13.05" customHeight="1" x14ac:dyDescent="0.3">
      <c r="A1917" s="2" t="s">
        <v>346</v>
      </c>
      <c r="B1917" s="2" t="s">
        <v>1033</v>
      </c>
      <c r="C1917" s="5" t="s">
        <v>1065</v>
      </c>
      <c r="D1917" s="2" t="s">
        <v>3157</v>
      </c>
    </row>
    <row r="1918" spans="1:4" ht="13.05" customHeight="1" x14ac:dyDescent="0.3">
      <c r="A1918" s="2" t="s">
        <v>350</v>
      </c>
      <c r="B1918" s="2" t="s">
        <v>1033</v>
      </c>
      <c r="C1918" s="5" t="s">
        <v>1015</v>
      </c>
      <c r="D1918" s="2" t="s">
        <v>1016</v>
      </c>
    </row>
    <row r="1919" spans="1:4" ht="13.05" customHeight="1" x14ac:dyDescent="0.3">
      <c r="A1919" s="2" t="s">
        <v>350</v>
      </c>
      <c r="B1919" s="2" t="s">
        <v>1033</v>
      </c>
      <c r="C1919" s="5" t="s">
        <v>1017</v>
      </c>
      <c r="D1919" s="2" t="s">
        <v>1018</v>
      </c>
    </row>
    <row r="1920" spans="1:4" ht="13.05" customHeight="1" x14ac:dyDescent="0.3">
      <c r="A1920" s="2" t="s">
        <v>350</v>
      </c>
      <c r="B1920" s="2" t="s">
        <v>1033</v>
      </c>
      <c r="C1920" s="5" t="s">
        <v>1019</v>
      </c>
      <c r="D1920" s="2" t="s">
        <v>1020</v>
      </c>
    </row>
    <row r="1921" spans="1:4" ht="13.05" customHeight="1" x14ac:dyDescent="0.3">
      <c r="A1921" s="2" t="s">
        <v>350</v>
      </c>
      <c r="B1921" s="2" t="s">
        <v>1033</v>
      </c>
      <c r="C1921" s="5" t="s">
        <v>1021</v>
      </c>
      <c r="D1921" s="2" t="s">
        <v>3170</v>
      </c>
    </row>
    <row r="1922" spans="1:4" ht="13.05" customHeight="1" x14ac:dyDescent="0.3">
      <c r="A1922" s="2" t="s">
        <v>350</v>
      </c>
      <c r="B1922" s="2" t="s">
        <v>1033</v>
      </c>
      <c r="C1922" s="5" t="s">
        <v>1023</v>
      </c>
      <c r="D1922" s="2" t="s">
        <v>3171</v>
      </c>
    </row>
    <row r="1923" spans="1:4" ht="13.05" customHeight="1" x14ac:dyDescent="0.3">
      <c r="A1923" s="2" t="s">
        <v>350</v>
      </c>
      <c r="B1923" s="2" t="s">
        <v>1033</v>
      </c>
      <c r="C1923" s="5" t="s">
        <v>1025</v>
      </c>
      <c r="D1923" s="2" t="s">
        <v>3172</v>
      </c>
    </row>
    <row r="1924" spans="1:4" ht="13.05" customHeight="1" x14ac:dyDescent="0.3">
      <c r="A1924" s="2" t="s">
        <v>350</v>
      </c>
      <c r="B1924" s="2" t="s">
        <v>1033</v>
      </c>
      <c r="C1924" s="5" t="s">
        <v>1027</v>
      </c>
      <c r="D1924" s="2" t="s">
        <v>3173</v>
      </c>
    </row>
    <row r="1925" spans="1:4" ht="13.05" customHeight="1" x14ac:dyDescent="0.3">
      <c r="A1925" s="2" t="s">
        <v>350</v>
      </c>
      <c r="B1925" s="2" t="s">
        <v>1033</v>
      </c>
      <c r="C1925" s="5" t="s">
        <v>1029</v>
      </c>
      <c r="D1925" s="2" t="s">
        <v>3174</v>
      </c>
    </row>
    <row r="1926" spans="1:4" ht="13.05" customHeight="1" x14ac:dyDescent="0.3">
      <c r="A1926" s="2" t="s">
        <v>350</v>
      </c>
      <c r="B1926" s="2" t="s">
        <v>1033</v>
      </c>
      <c r="C1926" s="5" t="s">
        <v>1031</v>
      </c>
      <c r="D1926" s="2" t="s">
        <v>3175</v>
      </c>
    </row>
    <row r="1927" spans="1:4" ht="13.05" customHeight="1" x14ac:dyDescent="0.3">
      <c r="A1927" s="2" t="s">
        <v>350</v>
      </c>
      <c r="B1927" s="2" t="s">
        <v>1033</v>
      </c>
      <c r="C1927" s="5" t="s">
        <v>1040</v>
      </c>
      <c r="D1927" s="2" t="s">
        <v>3176</v>
      </c>
    </row>
    <row r="1928" spans="1:4" ht="13.05" customHeight="1" x14ac:dyDescent="0.3">
      <c r="A1928" s="2" t="s">
        <v>350</v>
      </c>
      <c r="B1928" s="2" t="s">
        <v>1033</v>
      </c>
      <c r="C1928" s="5" t="s">
        <v>1042</v>
      </c>
      <c r="D1928" s="2" t="s">
        <v>3177</v>
      </c>
    </row>
    <row r="1929" spans="1:4" ht="13.05" customHeight="1" x14ac:dyDescent="0.3">
      <c r="A1929" s="2" t="s">
        <v>350</v>
      </c>
      <c r="B1929" s="2" t="s">
        <v>1033</v>
      </c>
      <c r="C1929" s="5" t="s">
        <v>1061</v>
      </c>
      <c r="D1929" s="2" t="s">
        <v>3178</v>
      </c>
    </row>
    <row r="1930" spans="1:4" ht="13.05" customHeight="1" x14ac:dyDescent="0.3">
      <c r="A1930" s="2" t="s">
        <v>350</v>
      </c>
      <c r="B1930" s="2" t="s">
        <v>1033</v>
      </c>
      <c r="C1930" s="5" t="s">
        <v>1063</v>
      </c>
      <c r="D1930" s="2" t="s">
        <v>3179</v>
      </c>
    </row>
    <row r="1931" spans="1:4" ht="13.05" customHeight="1" x14ac:dyDescent="0.3">
      <c r="A1931" s="2" t="s">
        <v>350</v>
      </c>
      <c r="B1931" s="2" t="s">
        <v>1033</v>
      </c>
      <c r="C1931" s="5" t="s">
        <v>1065</v>
      </c>
      <c r="D1931" s="2" t="s">
        <v>3157</v>
      </c>
    </row>
    <row r="1932" spans="1:4" ht="13.05" customHeight="1" x14ac:dyDescent="0.3">
      <c r="A1932" s="2" t="s">
        <v>353</v>
      </c>
      <c r="B1932" s="2" t="s">
        <v>1033</v>
      </c>
      <c r="C1932" s="5" t="s">
        <v>1015</v>
      </c>
      <c r="D1932" s="2" t="s">
        <v>1016</v>
      </c>
    </row>
    <row r="1933" spans="1:4" ht="13.05" customHeight="1" x14ac:dyDescent="0.3">
      <c r="A1933" s="2" t="s">
        <v>353</v>
      </c>
      <c r="B1933" s="2" t="s">
        <v>1033</v>
      </c>
      <c r="C1933" s="5" t="s">
        <v>1017</v>
      </c>
      <c r="D1933" s="2" t="s">
        <v>1018</v>
      </c>
    </row>
    <row r="1934" spans="1:4" ht="13.05" customHeight="1" x14ac:dyDescent="0.3">
      <c r="A1934" s="2" t="s">
        <v>353</v>
      </c>
      <c r="B1934" s="2" t="s">
        <v>1033</v>
      </c>
      <c r="C1934" s="5" t="s">
        <v>1019</v>
      </c>
      <c r="D1934" s="2" t="s">
        <v>1020</v>
      </c>
    </row>
    <row r="1935" spans="1:4" ht="13.05" customHeight="1" x14ac:dyDescent="0.3">
      <c r="A1935" s="2" t="s">
        <v>353</v>
      </c>
      <c r="B1935" s="2" t="s">
        <v>1033</v>
      </c>
      <c r="C1935" s="5" t="s">
        <v>1021</v>
      </c>
      <c r="D1935" s="2" t="s">
        <v>3170</v>
      </c>
    </row>
    <row r="1936" spans="1:4" ht="13.05" customHeight="1" x14ac:dyDescent="0.3">
      <c r="A1936" s="2" t="s">
        <v>353</v>
      </c>
      <c r="B1936" s="2" t="s">
        <v>1033</v>
      </c>
      <c r="C1936" s="5" t="s">
        <v>1023</v>
      </c>
      <c r="D1936" s="2" t="s">
        <v>3171</v>
      </c>
    </row>
    <row r="1937" spans="1:4" ht="13.05" customHeight="1" x14ac:dyDescent="0.3">
      <c r="A1937" s="2" t="s">
        <v>353</v>
      </c>
      <c r="B1937" s="2" t="s">
        <v>1033</v>
      </c>
      <c r="C1937" s="5" t="s">
        <v>1025</v>
      </c>
      <c r="D1937" s="2" t="s">
        <v>3172</v>
      </c>
    </row>
    <row r="1938" spans="1:4" ht="13.05" customHeight="1" x14ac:dyDescent="0.3">
      <c r="A1938" s="2" t="s">
        <v>353</v>
      </c>
      <c r="B1938" s="2" t="s">
        <v>1033</v>
      </c>
      <c r="C1938" s="5" t="s">
        <v>1027</v>
      </c>
      <c r="D1938" s="2" t="s">
        <v>3173</v>
      </c>
    </row>
    <row r="1939" spans="1:4" ht="13.05" customHeight="1" x14ac:dyDescent="0.3">
      <c r="A1939" s="2" t="s">
        <v>353</v>
      </c>
      <c r="B1939" s="2" t="s">
        <v>1033</v>
      </c>
      <c r="C1939" s="5" t="s">
        <v>1029</v>
      </c>
      <c r="D1939" s="2" t="s">
        <v>3174</v>
      </c>
    </row>
    <row r="1940" spans="1:4" ht="13.05" customHeight="1" x14ac:dyDescent="0.3">
      <c r="A1940" s="2" t="s">
        <v>353</v>
      </c>
      <c r="B1940" s="2" t="s">
        <v>1033</v>
      </c>
      <c r="C1940" s="5" t="s">
        <v>1031</v>
      </c>
      <c r="D1940" s="2" t="s">
        <v>3175</v>
      </c>
    </row>
    <row r="1941" spans="1:4" ht="13.05" customHeight="1" x14ac:dyDescent="0.3">
      <c r="A1941" s="2" t="s">
        <v>353</v>
      </c>
      <c r="B1941" s="2" t="s">
        <v>1033</v>
      </c>
      <c r="C1941" s="5" t="s">
        <v>1040</v>
      </c>
      <c r="D1941" s="2" t="s">
        <v>3176</v>
      </c>
    </row>
    <row r="1942" spans="1:4" ht="13.05" customHeight="1" x14ac:dyDescent="0.3">
      <c r="A1942" s="2" t="s">
        <v>353</v>
      </c>
      <c r="B1942" s="2" t="s">
        <v>1033</v>
      </c>
      <c r="C1942" s="5" t="s">
        <v>1042</v>
      </c>
      <c r="D1942" s="2" t="s">
        <v>3177</v>
      </c>
    </row>
    <row r="1943" spans="1:4" ht="13.05" customHeight="1" x14ac:dyDescent="0.3">
      <c r="A1943" s="2" t="s">
        <v>353</v>
      </c>
      <c r="B1943" s="2" t="s">
        <v>1033</v>
      </c>
      <c r="C1943" s="5" t="s">
        <v>1061</v>
      </c>
      <c r="D1943" s="2" t="s">
        <v>3178</v>
      </c>
    </row>
    <row r="1944" spans="1:4" ht="13.05" customHeight="1" x14ac:dyDescent="0.3">
      <c r="A1944" s="2" t="s">
        <v>353</v>
      </c>
      <c r="B1944" s="2" t="s">
        <v>1033</v>
      </c>
      <c r="C1944" s="5" t="s">
        <v>1063</v>
      </c>
      <c r="D1944" s="2" t="s">
        <v>3179</v>
      </c>
    </row>
    <row r="1945" spans="1:4" ht="13.05" customHeight="1" x14ac:dyDescent="0.3">
      <c r="A1945" s="2" t="s">
        <v>353</v>
      </c>
      <c r="B1945" s="2" t="s">
        <v>1033</v>
      </c>
      <c r="C1945" s="5" t="s">
        <v>1065</v>
      </c>
      <c r="D1945" s="2" t="s">
        <v>3157</v>
      </c>
    </row>
    <row r="1946" spans="1:4" ht="13.05" customHeight="1" x14ac:dyDescent="0.3">
      <c r="A1946" s="2" t="s">
        <v>356</v>
      </c>
      <c r="B1946" s="2" t="s">
        <v>1033</v>
      </c>
      <c r="C1946" s="5" t="s">
        <v>1015</v>
      </c>
      <c r="D1946" s="2" t="s">
        <v>1016</v>
      </c>
    </row>
    <row r="1947" spans="1:4" ht="13.05" customHeight="1" x14ac:dyDescent="0.3">
      <c r="A1947" s="2" t="s">
        <v>356</v>
      </c>
      <c r="B1947" s="2" t="s">
        <v>1033</v>
      </c>
      <c r="C1947" s="5" t="s">
        <v>1017</v>
      </c>
      <c r="D1947" s="2" t="s">
        <v>1018</v>
      </c>
    </row>
    <row r="1948" spans="1:4" ht="13.05" customHeight="1" x14ac:dyDescent="0.3">
      <c r="A1948" s="2" t="s">
        <v>356</v>
      </c>
      <c r="B1948" s="2" t="s">
        <v>1033</v>
      </c>
      <c r="C1948" s="5" t="s">
        <v>1019</v>
      </c>
      <c r="D1948" s="2" t="s">
        <v>1020</v>
      </c>
    </row>
    <row r="1949" spans="1:4" ht="13.05" customHeight="1" x14ac:dyDescent="0.3">
      <c r="A1949" s="2" t="s">
        <v>356</v>
      </c>
      <c r="B1949" s="2" t="s">
        <v>1033</v>
      </c>
      <c r="C1949" s="5" t="s">
        <v>1021</v>
      </c>
      <c r="D1949" s="2" t="s">
        <v>3170</v>
      </c>
    </row>
    <row r="1950" spans="1:4" ht="13.05" customHeight="1" x14ac:dyDescent="0.3">
      <c r="A1950" s="2" t="s">
        <v>356</v>
      </c>
      <c r="B1950" s="2" t="s">
        <v>1033</v>
      </c>
      <c r="C1950" s="5" t="s">
        <v>1023</v>
      </c>
      <c r="D1950" s="2" t="s">
        <v>3171</v>
      </c>
    </row>
    <row r="1951" spans="1:4" ht="13.05" customHeight="1" x14ac:dyDescent="0.3">
      <c r="A1951" s="2" t="s">
        <v>356</v>
      </c>
      <c r="B1951" s="2" t="s">
        <v>1033</v>
      </c>
      <c r="C1951" s="5" t="s">
        <v>1025</v>
      </c>
      <c r="D1951" s="2" t="s">
        <v>3172</v>
      </c>
    </row>
    <row r="1952" spans="1:4" ht="13.05" customHeight="1" x14ac:dyDescent="0.3">
      <c r="A1952" s="2" t="s">
        <v>356</v>
      </c>
      <c r="B1952" s="2" t="s">
        <v>1033</v>
      </c>
      <c r="C1952" s="5" t="s">
        <v>1027</v>
      </c>
      <c r="D1952" s="2" t="s">
        <v>3173</v>
      </c>
    </row>
    <row r="1953" spans="1:4" ht="13.05" customHeight="1" x14ac:dyDescent="0.3">
      <c r="A1953" s="2" t="s">
        <v>356</v>
      </c>
      <c r="B1953" s="2" t="s">
        <v>1033</v>
      </c>
      <c r="C1953" s="5" t="s">
        <v>1029</v>
      </c>
      <c r="D1953" s="2" t="s">
        <v>3174</v>
      </c>
    </row>
    <row r="1954" spans="1:4" ht="13.05" customHeight="1" x14ac:dyDescent="0.3">
      <c r="A1954" s="2" t="s">
        <v>356</v>
      </c>
      <c r="B1954" s="2" t="s">
        <v>1033</v>
      </c>
      <c r="C1954" s="5" t="s">
        <v>1031</v>
      </c>
      <c r="D1954" s="2" t="s">
        <v>3175</v>
      </c>
    </row>
    <row r="1955" spans="1:4" ht="13.05" customHeight="1" x14ac:dyDescent="0.3">
      <c r="A1955" s="2" t="s">
        <v>356</v>
      </c>
      <c r="B1955" s="2" t="s">
        <v>1033</v>
      </c>
      <c r="C1955" s="5" t="s">
        <v>1040</v>
      </c>
      <c r="D1955" s="2" t="s">
        <v>3176</v>
      </c>
    </row>
    <row r="1956" spans="1:4" ht="13.05" customHeight="1" x14ac:dyDescent="0.3">
      <c r="A1956" s="2" t="s">
        <v>356</v>
      </c>
      <c r="B1956" s="2" t="s">
        <v>1033</v>
      </c>
      <c r="C1956" s="5" t="s">
        <v>1042</v>
      </c>
      <c r="D1956" s="2" t="s">
        <v>3177</v>
      </c>
    </row>
    <row r="1957" spans="1:4" ht="13.05" customHeight="1" x14ac:dyDescent="0.3">
      <c r="A1957" s="2" t="s">
        <v>356</v>
      </c>
      <c r="B1957" s="2" t="s">
        <v>1033</v>
      </c>
      <c r="C1957" s="5" t="s">
        <v>1061</v>
      </c>
      <c r="D1957" s="2" t="s">
        <v>3178</v>
      </c>
    </row>
    <row r="1958" spans="1:4" ht="13.05" customHeight="1" x14ac:dyDescent="0.3">
      <c r="A1958" s="2" t="s">
        <v>356</v>
      </c>
      <c r="B1958" s="2" t="s">
        <v>1033</v>
      </c>
      <c r="C1958" s="5" t="s">
        <v>1063</v>
      </c>
      <c r="D1958" s="2" t="s">
        <v>3179</v>
      </c>
    </row>
    <row r="1959" spans="1:4" ht="13.05" customHeight="1" x14ac:dyDescent="0.3">
      <c r="A1959" s="2" t="s">
        <v>356</v>
      </c>
      <c r="B1959" s="2" t="s">
        <v>1033</v>
      </c>
      <c r="C1959" s="5" t="s">
        <v>1065</v>
      </c>
      <c r="D1959" s="2" t="s">
        <v>3157</v>
      </c>
    </row>
    <row r="1960" spans="1:4" ht="13.05" customHeight="1" x14ac:dyDescent="0.3">
      <c r="A1960" s="2" t="s">
        <v>358</v>
      </c>
      <c r="B1960" s="2" t="s">
        <v>1033</v>
      </c>
      <c r="C1960" s="5" t="s">
        <v>1015</v>
      </c>
      <c r="D1960" s="2" t="s">
        <v>1016</v>
      </c>
    </row>
    <row r="1961" spans="1:4" ht="13.05" customHeight="1" x14ac:dyDescent="0.3">
      <c r="A1961" s="2" t="s">
        <v>358</v>
      </c>
      <c r="B1961" s="2" t="s">
        <v>1033</v>
      </c>
      <c r="C1961" s="5" t="s">
        <v>1017</v>
      </c>
      <c r="D1961" s="2" t="s">
        <v>1018</v>
      </c>
    </row>
    <row r="1962" spans="1:4" ht="13.05" customHeight="1" x14ac:dyDescent="0.3">
      <c r="A1962" s="2" t="s">
        <v>358</v>
      </c>
      <c r="B1962" s="2" t="s">
        <v>1033</v>
      </c>
      <c r="C1962" s="5" t="s">
        <v>1019</v>
      </c>
      <c r="D1962" s="2" t="s">
        <v>1020</v>
      </c>
    </row>
    <row r="1963" spans="1:4" ht="13.05" customHeight="1" x14ac:dyDescent="0.3">
      <c r="A1963" s="2" t="s">
        <v>358</v>
      </c>
      <c r="B1963" s="2" t="s">
        <v>1033</v>
      </c>
      <c r="C1963" s="5" t="s">
        <v>1021</v>
      </c>
      <c r="D1963" s="2" t="s">
        <v>3170</v>
      </c>
    </row>
    <row r="1964" spans="1:4" ht="13.05" customHeight="1" x14ac:dyDescent="0.3">
      <c r="A1964" s="2" t="s">
        <v>358</v>
      </c>
      <c r="B1964" s="2" t="s">
        <v>1033</v>
      </c>
      <c r="C1964" s="5" t="s">
        <v>1023</v>
      </c>
      <c r="D1964" s="2" t="s">
        <v>3171</v>
      </c>
    </row>
    <row r="1965" spans="1:4" ht="13.05" customHeight="1" x14ac:dyDescent="0.3">
      <c r="A1965" s="2" t="s">
        <v>358</v>
      </c>
      <c r="B1965" s="2" t="s">
        <v>1033</v>
      </c>
      <c r="C1965" s="5" t="s">
        <v>1025</v>
      </c>
      <c r="D1965" s="2" t="s">
        <v>3172</v>
      </c>
    </row>
    <row r="1966" spans="1:4" ht="13.05" customHeight="1" x14ac:dyDescent="0.3">
      <c r="A1966" s="2" t="s">
        <v>358</v>
      </c>
      <c r="B1966" s="2" t="s">
        <v>1033</v>
      </c>
      <c r="C1966" s="5" t="s">
        <v>1027</v>
      </c>
      <c r="D1966" s="2" t="s">
        <v>3173</v>
      </c>
    </row>
    <row r="1967" spans="1:4" ht="13.05" customHeight="1" x14ac:dyDescent="0.3">
      <c r="A1967" s="2" t="s">
        <v>358</v>
      </c>
      <c r="B1967" s="2" t="s">
        <v>1033</v>
      </c>
      <c r="C1967" s="5" t="s">
        <v>1029</v>
      </c>
      <c r="D1967" s="2" t="s">
        <v>3174</v>
      </c>
    </row>
    <row r="1968" spans="1:4" ht="13.05" customHeight="1" x14ac:dyDescent="0.3">
      <c r="A1968" s="2" t="s">
        <v>358</v>
      </c>
      <c r="B1968" s="2" t="s">
        <v>1033</v>
      </c>
      <c r="C1968" s="5" t="s">
        <v>1031</v>
      </c>
      <c r="D1968" s="2" t="s">
        <v>3175</v>
      </c>
    </row>
    <row r="1969" spans="1:4" ht="13.05" customHeight="1" x14ac:dyDescent="0.3">
      <c r="A1969" s="2" t="s">
        <v>358</v>
      </c>
      <c r="B1969" s="2" t="s">
        <v>1033</v>
      </c>
      <c r="C1969" s="5" t="s">
        <v>1040</v>
      </c>
      <c r="D1969" s="2" t="s">
        <v>3176</v>
      </c>
    </row>
    <row r="1970" spans="1:4" ht="13.05" customHeight="1" x14ac:dyDescent="0.3">
      <c r="A1970" s="2" t="s">
        <v>358</v>
      </c>
      <c r="B1970" s="2" t="s">
        <v>1033</v>
      </c>
      <c r="C1970" s="5" t="s">
        <v>1042</v>
      </c>
      <c r="D1970" s="2" t="s">
        <v>3177</v>
      </c>
    </row>
    <row r="1971" spans="1:4" ht="13.05" customHeight="1" x14ac:dyDescent="0.3">
      <c r="A1971" s="2" t="s">
        <v>358</v>
      </c>
      <c r="B1971" s="2" t="s">
        <v>1033</v>
      </c>
      <c r="C1971" s="5" t="s">
        <v>1061</v>
      </c>
      <c r="D1971" s="2" t="s">
        <v>3178</v>
      </c>
    </row>
    <row r="1972" spans="1:4" ht="13.05" customHeight="1" x14ac:dyDescent="0.3">
      <c r="A1972" s="2" t="s">
        <v>358</v>
      </c>
      <c r="B1972" s="2" t="s">
        <v>1033</v>
      </c>
      <c r="C1972" s="5" t="s">
        <v>1063</v>
      </c>
      <c r="D1972" s="2" t="s">
        <v>3179</v>
      </c>
    </row>
    <row r="1973" spans="1:4" ht="13.05" customHeight="1" x14ac:dyDescent="0.3">
      <c r="A1973" s="2" t="s">
        <v>358</v>
      </c>
      <c r="B1973" s="2" t="s">
        <v>1033</v>
      </c>
      <c r="C1973" s="5" t="s">
        <v>1065</v>
      </c>
      <c r="D1973" s="2" t="s">
        <v>3157</v>
      </c>
    </row>
    <row r="1974" spans="1:4" ht="13.05" customHeight="1" x14ac:dyDescent="0.3">
      <c r="A1974" s="2" t="s">
        <v>361</v>
      </c>
      <c r="B1974" s="2" t="s">
        <v>1033</v>
      </c>
      <c r="C1974" s="5" t="s">
        <v>1015</v>
      </c>
      <c r="D1974" s="2" t="s">
        <v>1016</v>
      </c>
    </row>
    <row r="1975" spans="1:4" ht="13.05" customHeight="1" x14ac:dyDescent="0.3">
      <c r="A1975" s="2" t="s">
        <v>361</v>
      </c>
      <c r="B1975" s="2" t="s">
        <v>1033</v>
      </c>
      <c r="C1975" s="5" t="s">
        <v>1017</v>
      </c>
      <c r="D1975" s="2" t="s">
        <v>1018</v>
      </c>
    </row>
    <row r="1976" spans="1:4" ht="13.05" customHeight="1" x14ac:dyDescent="0.3">
      <c r="A1976" s="2" t="s">
        <v>361</v>
      </c>
      <c r="B1976" s="2" t="s">
        <v>1033</v>
      </c>
      <c r="C1976" s="5" t="s">
        <v>1019</v>
      </c>
      <c r="D1976" s="2" t="s">
        <v>1020</v>
      </c>
    </row>
    <row r="1977" spans="1:4" ht="13.05" customHeight="1" x14ac:dyDescent="0.3">
      <c r="A1977" s="2" t="s">
        <v>361</v>
      </c>
      <c r="B1977" s="2" t="s">
        <v>1033</v>
      </c>
      <c r="C1977" s="5" t="s">
        <v>1021</v>
      </c>
      <c r="D1977" s="2" t="s">
        <v>3170</v>
      </c>
    </row>
    <row r="1978" spans="1:4" ht="13.05" customHeight="1" x14ac:dyDescent="0.3">
      <c r="A1978" s="2" t="s">
        <v>361</v>
      </c>
      <c r="B1978" s="2" t="s">
        <v>1033</v>
      </c>
      <c r="C1978" s="5" t="s">
        <v>1023</v>
      </c>
      <c r="D1978" s="2" t="s">
        <v>3171</v>
      </c>
    </row>
    <row r="1979" spans="1:4" ht="13.05" customHeight="1" x14ac:dyDescent="0.3">
      <c r="A1979" s="2" t="s">
        <v>361</v>
      </c>
      <c r="B1979" s="2" t="s">
        <v>1033</v>
      </c>
      <c r="C1979" s="5" t="s">
        <v>1025</v>
      </c>
      <c r="D1979" s="2" t="s">
        <v>3172</v>
      </c>
    </row>
    <row r="1980" spans="1:4" ht="13.05" customHeight="1" x14ac:dyDescent="0.3">
      <c r="A1980" s="2" t="s">
        <v>361</v>
      </c>
      <c r="B1980" s="2" t="s">
        <v>1033</v>
      </c>
      <c r="C1980" s="5" t="s">
        <v>1027</v>
      </c>
      <c r="D1980" s="2" t="s">
        <v>3173</v>
      </c>
    </row>
    <row r="1981" spans="1:4" ht="13.05" customHeight="1" x14ac:dyDescent="0.3">
      <c r="A1981" s="2" t="s">
        <v>361</v>
      </c>
      <c r="B1981" s="2" t="s">
        <v>1033</v>
      </c>
      <c r="C1981" s="5" t="s">
        <v>1029</v>
      </c>
      <c r="D1981" s="2" t="s">
        <v>3174</v>
      </c>
    </row>
    <row r="1982" spans="1:4" ht="13.05" customHeight="1" x14ac:dyDescent="0.3">
      <c r="A1982" s="2" t="s">
        <v>361</v>
      </c>
      <c r="B1982" s="2" t="s">
        <v>1033</v>
      </c>
      <c r="C1982" s="5" t="s">
        <v>1031</v>
      </c>
      <c r="D1982" s="2" t="s">
        <v>3175</v>
      </c>
    </row>
    <row r="1983" spans="1:4" ht="13.05" customHeight="1" x14ac:dyDescent="0.3">
      <c r="A1983" s="2" t="s">
        <v>361</v>
      </c>
      <c r="B1983" s="2" t="s">
        <v>1033</v>
      </c>
      <c r="C1983" s="5" t="s">
        <v>1040</v>
      </c>
      <c r="D1983" s="2" t="s">
        <v>3176</v>
      </c>
    </row>
    <row r="1984" spans="1:4" ht="13.05" customHeight="1" x14ac:dyDescent="0.3">
      <c r="A1984" s="2" t="s">
        <v>361</v>
      </c>
      <c r="B1984" s="2" t="s">
        <v>1033</v>
      </c>
      <c r="C1984" s="5" t="s">
        <v>1042</v>
      </c>
      <c r="D1984" s="2" t="s">
        <v>3177</v>
      </c>
    </row>
    <row r="1985" spans="1:4" ht="13.05" customHeight="1" x14ac:dyDescent="0.3">
      <c r="A1985" s="2" t="s">
        <v>361</v>
      </c>
      <c r="B1985" s="2" t="s">
        <v>1033</v>
      </c>
      <c r="C1985" s="5" t="s">
        <v>1061</v>
      </c>
      <c r="D1985" s="2" t="s">
        <v>3178</v>
      </c>
    </row>
    <row r="1986" spans="1:4" ht="13.05" customHeight="1" x14ac:dyDescent="0.3">
      <c r="A1986" s="2" t="s">
        <v>361</v>
      </c>
      <c r="B1986" s="2" t="s">
        <v>1033</v>
      </c>
      <c r="C1986" s="5" t="s">
        <v>1063</v>
      </c>
      <c r="D1986" s="2" t="s">
        <v>3179</v>
      </c>
    </row>
    <row r="1987" spans="1:4" ht="13.05" customHeight="1" x14ac:dyDescent="0.3">
      <c r="A1987" s="2" t="s">
        <v>361</v>
      </c>
      <c r="B1987" s="2" t="s">
        <v>1033</v>
      </c>
      <c r="C1987" s="5" t="s">
        <v>1065</v>
      </c>
      <c r="D1987" s="2" t="s">
        <v>3157</v>
      </c>
    </row>
    <row r="1988" spans="1:4" ht="13.05" customHeight="1" x14ac:dyDescent="0.3">
      <c r="A1988" s="2" t="s">
        <v>364</v>
      </c>
      <c r="B1988" s="2" t="s">
        <v>1033</v>
      </c>
      <c r="C1988" s="5" t="s">
        <v>1015</v>
      </c>
      <c r="D1988" s="2" t="s">
        <v>1016</v>
      </c>
    </row>
    <row r="1989" spans="1:4" ht="13.05" customHeight="1" x14ac:dyDescent="0.3">
      <c r="A1989" s="2" t="s">
        <v>364</v>
      </c>
      <c r="B1989" s="2" t="s">
        <v>1033</v>
      </c>
      <c r="C1989" s="5" t="s">
        <v>1017</v>
      </c>
      <c r="D1989" s="2" t="s">
        <v>1018</v>
      </c>
    </row>
    <row r="1990" spans="1:4" ht="13.05" customHeight="1" x14ac:dyDescent="0.3">
      <c r="A1990" s="2" t="s">
        <v>364</v>
      </c>
      <c r="B1990" s="2" t="s">
        <v>1033</v>
      </c>
      <c r="C1990" s="5" t="s">
        <v>1019</v>
      </c>
      <c r="D1990" s="2" t="s">
        <v>1020</v>
      </c>
    </row>
    <row r="1991" spans="1:4" ht="13.05" customHeight="1" x14ac:dyDescent="0.3">
      <c r="A1991" s="2" t="s">
        <v>364</v>
      </c>
      <c r="B1991" s="2" t="s">
        <v>1033</v>
      </c>
      <c r="C1991" s="5" t="s">
        <v>1021</v>
      </c>
      <c r="D1991" s="2" t="s">
        <v>3170</v>
      </c>
    </row>
    <row r="1992" spans="1:4" ht="13.05" customHeight="1" x14ac:dyDescent="0.3">
      <c r="A1992" s="2" t="s">
        <v>364</v>
      </c>
      <c r="B1992" s="2" t="s">
        <v>1033</v>
      </c>
      <c r="C1992" s="5" t="s">
        <v>1023</v>
      </c>
      <c r="D1992" s="2" t="s">
        <v>3171</v>
      </c>
    </row>
    <row r="1993" spans="1:4" ht="13.05" customHeight="1" x14ac:dyDescent="0.3">
      <c r="A1993" s="2" t="s">
        <v>364</v>
      </c>
      <c r="B1993" s="2" t="s">
        <v>1033</v>
      </c>
      <c r="C1993" s="5" t="s">
        <v>1025</v>
      </c>
      <c r="D1993" s="2" t="s">
        <v>3172</v>
      </c>
    </row>
    <row r="1994" spans="1:4" ht="13.05" customHeight="1" x14ac:dyDescent="0.3">
      <c r="A1994" s="2" t="s">
        <v>364</v>
      </c>
      <c r="B1994" s="2" t="s">
        <v>1033</v>
      </c>
      <c r="C1994" s="5" t="s">
        <v>1027</v>
      </c>
      <c r="D1994" s="2" t="s">
        <v>3173</v>
      </c>
    </row>
    <row r="1995" spans="1:4" ht="13.05" customHeight="1" x14ac:dyDescent="0.3">
      <c r="A1995" s="2" t="s">
        <v>364</v>
      </c>
      <c r="B1995" s="2" t="s">
        <v>1033</v>
      </c>
      <c r="C1995" s="5" t="s">
        <v>1029</v>
      </c>
      <c r="D1995" s="2" t="s">
        <v>3174</v>
      </c>
    </row>
    <row r="1996" spans="1:4" ht="13.05" customHeight="1" x14ac:dyDescent="0.3">
      <c r="A1996" s="2" t="s">
        <v>364</v>
      </c>
      <c r="B1996" s="2" t="s">
        <v>1033</v>
      </c>
      <c r="C1996" s="5" t="s">
        <v>1031</v>
      </c>
      <c r="D1996" s="2" t="s">
        <v>3175</v>
      </c>
    </row>
    <row r="1997" spans="1:4" ht="13.05" customHeight="1" x14ac:dyDescent="0.3">
      <c r="A1997" s="2" t="s">
        <v>364</v>
      </c>
      <c r="B1997" s="2" t="s">
        <v>1033</v>
      </c>
      <c r="C1997" s="5" t="s">
        <v>1040</v>
      </c>
      <c r="D1997" s="2" t="s">
        <v>3176</v>
      </c>
    </row>
    <row r="1998" spans="1:4" ht="13.05" customHeight="1" x14ac:dyDescent="0.3">
      <c r="A1998" s="2" t="s">
        <v>364</v>
      </c>
      <c r="B1998" s="2" t="s">
        <v>1033</v>
      </c>
      <c r="C1998" s="5" t="s">
        <v>1042</v>
      </c>
      <c r="D1998" s="2" t="s">
        <v>3177</v>
      </c>
    </row>
    <row r="1999" spans="1:4" ht="13.05" customHeight="1" x14ac:dyDescent="0.3">
      <c r="A1999" s="2" t="s">
        <v>364</v>
      </c>
      <c r="B1999" s="2" t="s">
        <v>1033</v>
      </c>
      <c r="C1999" s="5" t="s">
        <v>1061</v>
      </c>
      <c r="D1999" s="2" t="s">
        <v>3178</v>
      </c>
    </row>
    <row r="2000" spans="1:4" ht="13.05" customHeight="1" x14ac:dyDescent="0.3">
      <c r="A2000" s="2" t="s">
        <v>364</v>
      </c>
      <c r="B2000" s="2" t="s">
        <v>1033</v>
      </c>
      <c r="C2000" s="5" t="s">
        <v>1063</v>
      </c>
      <c r="D2000" s="2" t="s">
        <v>3179</v>
      </c>
    </row>
    <row r="2001" spans="1:4" ht="13.05" customHeight="1" x14ac:dyDescent="0.3">
      <c r="A2001" s="2" t="s">
        <v>364</v>
      </c>
      <c r="B2001" s="2" t="s">
        <v>1033</v>
      </c>
      <c r="C2001" s="5" t="s">
        <v>1065</v>
      </c>
      <c r="D2001" s="2" t="s">
        <v>3157</v>
      </c>
    </row>
    <row r="2002" spans="1:4" ht="13.05" customHeight="1" x14ac:dyDescent="0.3">
      <c r="A2002" s="2" t="s">
        <v>366</v>
      </c>
      <c r="B2002" s="2" t="s">
        <v>1033</v>
      </c>
      <c r="C2002" s="5" t="s">
        <v>1015</v>
      </c>
      <c r="D2002" s="2" t="s">
        <v>1016</v>
      </c>
    </row>
    <row r="2003" spans="1:4" ht="13.05" customHeight="1" x14ac:dyDescent="0.3">
      <c r="A2003" s="2" t="s">
        <v>366</v>
      </c>
      <c r="B2003" s="2" t="s">
        <v>1033</v>
      </c>
      <c r="C2003" s="5" t="s">
        <v>1017</v>
      </c>
      <c r="D2003" s="2" t="s">
        <v>1018</v>
      </c>
    </row>
    <row r="2004" spans="1:4" ht="13.05" customHeight="1" x14ac:dyDescent="0.3">
      <c r="A2004" s="2" t="s">
        <v>366</v>
      </c>
      <c r="B2004" s="2" t="s">
        <v>1033</v>
      </c>
      <c r="C2004" s="5" t="s">
        <v>1019</v>
      </c>
      <c r="D2004" s="2" t="s">
        <v>1020</v>
      </c>
    </row>
    <row r="2005" spans="1:4" ht="13.05" customHeight="1" x14ac:dyDescent="0.3">
      <c r="A2005" s="2" t="s">
        <v>366</v>
      </c>
      <c r="B2005" s="2" t="s">
        <v>1033</v>
      </c>
      <c r="C2005" s="5" t="s">
        <v>1021</v>
      </c>
      <c r="D2005" s="2" t="s">
        <v>3170</v>
      </c>
    </row>
    <row r="2006" spans="1:4" ht="13.05" customHeight="1" x14ac:dyDescent="0.3">
      <c r="A2006" s="2" t="s">
        <v>366</v>
      </c>
      <c r="B2006" s="2" t="s">
        <v>1033</v>
      </c>
      <c r="C2006" s="5" t="s">
        <v>1023</v>
      </c>
      <c r="D2006" s="2" t="s">
        <v>3171</v>
      </c>
    </row>
    <row r="2007" spans="1:4" ht="13.05" customHeight="1" x14ac:dyDescent="0.3">
      <c r="A2007" s="2" t="s">
        <v>366</v>
      </c>
      <c r="B2007" s="2" t="s">
        <v>1033</v>
      </c>
      <c r="C2007" s="5" t="s">
        <v>1025</v>
      </c>
      <c r="D2007" s="2" t="s">
        <v>3172</v>
      </c>
    </row>
    <row r="2008" spans="1:4" ht="13.05" customHeight="1" x14ac:dyDescent="0.3">
      <c r="A2008" s="2" t="s">
        <v>366</v>
      </c>
      <c r="B2008" s="2" t="s">
        <v>1033</v>
      </c>
      <c r="C2008" s="5" t="s">
        <v>1027</v>
      </c>
      <c r="D2008" s="2" t="s">
        <v>3173</v>
      </c>
    </row>
    <row r="2009" spans="1:4" ht="13.05" customHeight="1" x14ac:dyDescent="0.3">
      <c r="A2009" s="2" t="s">
        <v>366</v>
      </c>
      <c r="B2009" s="2" t="s">
        <v>1033</v>
      </c>
      <c r="C2009" s="5" t="s">
        <v>1029</v>
      </c>
      <c r="D2009" s="2" t="s">
        <v>3174</v>
      </c>
    </row>
    <row r="2010" spans="1:4" ht="13.05" customHeight="1" x14ac:dyDescent="0.3">
      <c r="A2010" s="2" t="s">
        <v>366</v>
      </c>
      <c r="B2010" s="2" t="s">
        <v>1033</v>
      </c>
      <c r="C2010" s="5" t="s">
        <v>1031</v>
      </c>
      <c r="D2010" s="2" t="s">
        <v>3175</v>
      </c>
    </row>
    <row r="2011" spans="1:4" ht="13.05" customHeight="1" x14ac:dyDescent="0.3">
      <c r="A2011" s="2" t="s">
        <v>366</v>
      </c>
      <c r="B2011" s="2" t="s">
        <v>1033</v>
      </c>
      <c r="C2011" s="5" t="s">
        <v>1040</v>
      </c>
      <c r="D2011" s="2" t="s">
        <v>3176</v>
      </c>
    </row>
    <row r="2012" spans="1:4" ht="13.05" customHeight="1" x14ac:dyDescent="0.3">
      <c r="A2012" s="2" t="s">
        <v>366</v>
      </c>
      <c r="B2012" s="2" t="s">
        <v>1033</v>
      </c>
      <c r="C2012" s="5" t="s">
        <v>1042</v>
      </c>
      <c r="D2012" s="2" t="s">
        <v>3177</v>
      </c>
    </row>
    <row r="2013" spans="1:4" ht="13.05" customHeight="1" x14ac:dyDescent="0.3">
      <c r="A2013" s="2" t="s">
        <v>366</v>
      </c>
      <c r="B2013" s="2" t="s">
        <v>1033</v>
      </c>
      <c r="C2013" s="5" t="s">
        <v>1061</v>
      </c>
      <c r="D2013" s="2" t="s">
        <v>3178</v>
      </c>
    </row>
    <row r="2014" spans="1:4" ht="13.05" customHeight="1" x14ac:dyDescent="0.3">
      <c r="A2014" s="2" t="s">
        <v>366</v>
      </c>
      <c r="B2014" s="2" t="s">
        <v>1033</v>
      </c>
      <c r="C2014" s="5" t="s">
        <v>1063</v>
      </c>
      <c r="D2014" s="2" t="s">
        <v>3179</v>
      </c>
    </row>
    <row r="2015" spans="1:4" ht="13.05" customHeight="1" x14ac:dyDescent="0.3">
      <c r="A2015" s="2" t="s">
        <v>366</v>
      </c>
      <c r="B2015" s="2" t="s">
        <v>1033</v>
      </c>
      <c r="C2015" s="5" t="s">
        <v>1065</v>
      </c>
      <c r="D2015" s="2" t="s">
        <v>3157</v>
      </c>
    </row>
    <row r="2016" spans="1:4" ht="13.05" customHeight="1" x14ac:dyDescent="0.3">
      <c r="A2016" s="2" t="s">
        <v>368</v>
      </c>
      <c r="B2016" s="2" t="s">
        <v>1033</v>
      </c>
      <c r="C2016" s="5" t="s">
        <v>1015</v>
      </c>
      <c r="D2016" s="2" t="s">
        <v>1016</v>
      </c>
    </row>
    <row r="2017" spans="1:4" ht="13.05" customHeight="1" x14ac:dyDescent="0.3">
      <c r="A2017" s="2" t="s">
        <v>368</v>
      </c>
      <c r="B2017" s="2" t="s">
        <v>1033</v>
      </c>
      <c r="C2017" s="5" t="s">
        <v>1017</v>
      </c>
      <c r="D2017" s="2" t="s">
        <v>1018</v>
      </c>
    </row>
    <row r="2018" spans="1:4" ht="13.05" customHeight="1" x14ac:dyDescent="0.3">
      <c r="A2018" s="2" t="s">
        <v>368</v>
      </c>
      <c r="B2018" s="2" t="s">
        <v>1033</v>
      </c>
      <c r="C2018" s="5" t="s">
        <v>1019</v>
      </c>
      <c r="D2018" s="2" t="s">
        <v>1020</v>
      </c>
    </row>
    <row r="2019" spans="1:4" ht="13.05" customHeight="1" x14ac:dyDescent="0.3">
      <c r="A2019" s="2" t="s">
        <v>368</v>
      </c>
      <c r="B2019" s="2" t="s">
        <v>1033</v>
      </c>
      <c r="C2019" s="5" t="s">
        <v>1021</v>
      </c>
      <c r="D2019" s="2" t="s">
        <v>3170</v>
      </c>
    </row>
    <row r="2020" spans="1:4" ht="13.05" customHeight="1" x14ac:dyDescent="0.3">
      <c r="A2020" s="2" t="s">
        <v>368</v>
      </c>
      <c r="B2020" s="2" t="s">
        <v>1033</v>
      </c>
      <c r="C2020" s="5" t="s">
        <v>1023</v>
      </c>
      <c r="D2020" s="2" t="s">
        <v>3171</v>
      </c>
    </row>
    <row r="2021" spans="1:4" ht="13.05" customHeight="1" x14ac:dyDescent="0.3">
      <c r="A2021" s="2" t="s">
        <v>368</v>
      </c>
      <c r="B2021" s="2" t="s">
        <v>1033</v>
      </c>
      <c r="C2021" s="5" t="s">
        <v>1025</v>
      </c>
      <c r="D2021" s="2" t="s">
        <v>3172</v>
      </c>
    </row>
    <row r="2022" spans="1:4" ht="13.05" customHeight="1" x14ac:dyDescent="0.3">
      <c r="A2022" s="2" t="s">
        <v>368</v>
      </c>
      <c r="B2022" s="2" t="s">
        <v>1033</v>
      </c>
      <c r="C2022" s="5" t="s">
        <v>1027</v>
      </c>
      <c r="D2022" s="2" t="s">
        <v>3173</v>
      </c>
    </row>
    <row r="2023" spans="1:4" ht="13.05" customHeight="1" x14ac:dyDescent="0.3">
      <c r="A2023" s="2" t="s">
        <v>368</v>
      </c>
      <c r="B2023" s="2" t="s">
        <v>1033</v>
      </c>
      <c r="C2023" s="5" t="s">
        <v>1029</v>
      </c>
      <c r="D2023" s="2" t="s">
        <v>3174</v>
      </c>
    </row>
    <row r="2024" spans="1:4" ht="13.05" customHeight="1" x14ac:dyDescent="0.3">
      <c r="A2024" s="2" t="s">
        <v>368</v>
      </c>
      <c r="B2024" s="2" t="s">
        <v>1033</v>
      </c>
      <c r="C2024" s="5" t="s">
        <v>1031</v>
      </c>
      <c r="D2024" s="2" t="s">
        <v>3175</v>
      </c>
    </row>
    <row r="2025" spans="1:4" ht="13.05" customHeight="1" x14ac:dyDescent="0.3">
      <c r="A2025" s="2" t="s">
        <v>368</v>
      </c>
      <c r="B2025" s="2" t="s">
        <v>1033</v>
      </c>
      <c r="C2025" s="5" t="s">
        <v>1040</v>
      </c>
      <c r="D2025" s="2" t="s">
        <v>3176</v>
      </c>
    </row>
    <row r="2026" spans="1:4" ht="13.05" customHeight="1" x14ac:dyDescent="0.3">
      <c r="A2026" s="2" t="s">
        <v>368</v>
      </c>
      <c r="B2026" s="2" t="s">
        <v>1033</v>
      </c>
      <c r="C2026" s="5" t="s">
        <v>1042</v>
      </c>
      <c r="D2026" s="2" t="s">
        <v>3177</v>
      </c>
    </row>
    <row r="2027" spans="1:4" ht="13.05" customHeight="1" x14ac:dyDescent="0.3">
      <c r="A2027" s="2" t="s">
        <v>368</v>
      </c>
      <c r="B2027" s="2" t="s">
        <v>1033</v>
      </c>
      <c r="C2027" s="5" t="s">
        <v>1061</v>
      </c>
      <c r="D2027" s="2" t="s">
        <v>3178</v>
      </c>
    </row>
    <row r="2028" spans="1:4" ht="13.05" customHeight="1" x14ac:dyDescent="0.3">
      <c r="A2028" s="2" t="s">
        <v>368</v>
      </c>
      <c r="B2028" s="2" t="s">
        <v>1033</v>
      </c>
      <c r="C2028" s="5" t="s">
        <v>1063</v>
      </c>
      <c r="D2028" s="2" t="s">
        <v>3179</v>
      </c>
    </row>
    <row r="2029" spans="1:4" ht="13.05" customHeight="1" x14ac:dyDescent="0.3">
      <c r="A2029" s="2" t="s">
        <v>368</v>
      </c>
      <c r="B2029" s="2" t="s">
        <v>1033</v>
      </c>
      <c r="C2029" s="5" t="s">
        <v>1065</v>
      </c>
      <c r="D2029" s="2" t="s">
        <v>3157</v>
      </c>
    </row>
    <row r="2030" spans="1:4" ht="13.05" customHeight="1" x14ac:dyDescent="0.3">
      <c r="A2030" s="2" t="s">
        <v>371</v>
      </c>
      <c r="B2030" s="2" t="s">
        <v>1033</v>
      </c>
      <c r="C2030" s="5" t="s">
        <v>1015</v>
      </c>
      <c r="D2030" s="2" t="s">
        <v>1016</v>
      </c>
    </row>
    <row r="2031" spans="1:4" ht="13.05" customHeight="1" x14ac:dyDescent="0.3">
      <c r="A2031" s="2" t="s">
        <v>371</v>
      </c>
      <c r="B2031" s="2" t="s">
        <v>1033</v>
      </c>
      <c r="C2031" s="5" t="s">
        <v>1017</v>
      </c>
      <c r="D2031" s="2" t="s">
        <v>1018</v>
      </c>
    </row>
    <row r="2032" spans="1:4" ht="13.05" customHeight="1" x14ac:dyDescent="0.3">
      <c r="A2032" s="2" t="s">
        <v>371</v>
      </c>
      <c r="B2032" s="2" t="s">
        <v>1033</v>
      </c>
      <c r="C2032" s="5" t="s">
        <v>1019</v>
      </c>
      <c r="D2032" s="2" t="s">
        <v>1020</v>
      </c>
    </row>
    <row r="2033" spans="1:4" ht="13.05" customHeight="1" x14ac:dyDescent="0.3">
      <c r="A2033" s="2" t="s">
        <v>371</v>
      </c>
      <c r="B2033" s="2" t="s">
        <v>1033</v>
      </c>
      <c r="C2033" s="5" t="s">
        <v>1021</v>
      </c>
      <c r="D2033" s="2" t="s">
        <v>3170</v>
      </c>
    </row>
    <row r="2034" spans="1:4" ht="13.05" customHeight="1" x14ac:dyDescent="0.3">
      <c r="A2034" s="2" t="s">
        <v>371</v>
      </c>
      <c r="B2034" s="2" t="s">
        <v>1033</v>
      </c>
      <c r="C2034" s="5" t="s">
        <v>1023</v>
      </c>
      <c r="D2034" s="2" t="s">
        <v>3171</v>
      </c>
    </row>
    <row r="2035" spans="1:4" ht="13.05" customHeight="1" x14ac:dyDescent="0.3">
      <c r="A2035" s="2" t="s">
        <v>371</v>
      </c>
      <c r="B2035" s="2" t="s">
        <v>1033</v>
      </c>
      <c r="C2035" s="5" t="s">
        <v>1025</v>
      </c>
      <c r="D2035" s="2" t="s">
        <v>3172</v>
      </c>
    </row>
    <row r="2036" spans="1:4" ht="13.05" customHeight="1" x14ac:dyDescent="0.3">
      <c r="A2036" s="2" t="s">
        <v>371</v>
      </c>
      <c r="B2036" s="2" t="s">
        <v>1033</v>
      </c>
      <c r="C2036" s="5" t="s">
        <v>1027</v>
      </c>
      <c r="D2036" s="2" t="s">
        <v>3173</v>
      </c>
    </row>
    <row r="2037" spans="1:4" ht="13.05" customHeight="1" x14ac:dyDescent="0.3">
      <c r="A2037" s="2" t="s">
        <v>371</v>
      </c>
      <c r="B2037" s="2" t="s">
        <v>1033</v>
      </c>
      <c r="C2037" s="5" t="s">
        <v>1029</v>
      </c>
      <c r="D2037" s="2" t="s">
        <v>3174</v>
      </c>
    </row>
    <row r="2038" spans="1:4" ht="13.05" customHeight="1" x14ac:dyDescent="0.3">
      <c r="A2038" s="2" t="s">
        <v>371</v>
      </c>
      <c r="B2038" s="2" t="s">
        <v>1033</v>
      </c>
      <c r="C2038" s="5" t="s">
        <v>1031</v>
      </c>
      <c r="D2038" s="2" t="s">
        <v>3175</v>
      </c>
    </row>
    <row r="2039" spans="1:4" ht="13.05" customHeight="1" x14ac:dyDescent="0.3">
      <c r="A2039" s="2" t="s">
        <v>371</v>
      </c>
      <c r="B2039" s="2" t="s">
        <v>1033</v>
      </c>
      <c r="C2039" s="5" t="s">
        <v>1040</v>
      </c>
      <c r="D2039" s="2" t="s">
        <v>3176</v>
      </c>
    </row>
    <row r="2040" spans="1:4" ht="13.05" customHeight="1" x14ac:dyDescent="0.3">
      <c r="A2040" s="2" t="s">
        <v>371</v>
      </c>
      <c r="B2040" s="2" t="s">
        <v>1033</v>
      </c>
      <c r="C2040" s="5" t="s">
        <v>1042</v>
      </c>
      <c r="D2040" s="2" t="s">
        <v>3177</v>
      </c>
    </row>
    <row r="2041" spans="1:4" ht="13.05" customHeight="1" x14ac:dyDescent="0.3">
      <c r="A2041" s="2" t="s">
        <v>371</v>
      </c>
      <c r="B2041" s="2" t="s">
        <v>1033</v>
      </c>
      <c r="C2041" s="5" t="s">
        <v>1061</v>
      </c>
      <c r="D2041" s="2" t="s">
        <v>3178</v>
      </c>
    </row>
    <row r="2042" spans="1:4" ht="13.05" customHeight="1" x14ac:dyDescent="0.3">
      <c r="A2042" s="2" t="s">
        <v>371</v>
      </c>
      <c r="B2042" s="2" t="s">
        <v>1033</v>
      </c>
      <c r="C2042" s="5" t="s">
        <v>1063</v>
      </c>
      <c r="D2042" s="2" t="s">
        <v>3179</v>
      </c>
    </row>
    <row r="2043" spans="1:4" ht="13.05" customHeight="1" x14ac:dyDescent="0.3">
      <c r="A2043" s="2" t="s">
        <v>371</v>
      </c>
      <c r="B2043" s="2" t="s">
        <v>1033</v>
      </c>
      <c r="C2043" s="5" t="s">
        <v>1065</v>
      </c>
      <c r="D2043" s="2" t="s">
        <v>3157</v>
      </c>
    </row>
    <row r="2044" spans="1:4" ht="13.05" customHeight="1" x14ac:dyDescent="0.3">
      <c r="A2044" s="2" t="s">
        <v>373</v>
      </c>
      <c r="B2044" s="2" t="s">
        <v>1033</v>
      </c>
      <c r="C2044" s="5" t="s">
        <v>1015</v>
      </c>
      <c r="D2044" s="2" t="s">
        <v>1016</v>
      </c>
    </row>
    <row r="2045" spans="1:4" ht="13.05" customHeight="1" x14ac:dyDescent="0.3">
      <c r="A2045" s="2" t="s">
        <v>373</v>
      </c>
      <c r="B2045" s="2" t="s">
        <v>1033</v>
      </c>
      <c r="C2045" s="5" t="s">
        <v>1017</v>
      </c>
      <c r="D2045" s="2" t="s">
        <v>1018</v>
      </c>
    </row>
    <row r="2046" spans="1:4" ht="13.05" customHeight="1" x14ac:dyDescent="0.3">
      <c r="A2046" s="2" t="s">
        <v>373</v>
      </c>
      <c r="B2046" s="2" t="s">
        <v>1033</v>
      </c>
      <c r="C2046" s="5" t="s">
        <v>1019</v>
      </c>
      <c r="D2046" s="2" t="s">
        <v>1020</v>
      </c>
    </row>
    <row r="2047" spans="1:4" ht="13.05" customHeight="1" x14ac:dyDescent="0.3">
      <c r="A2047" s="2" t="s">
        <v>373</v>
      </c>
      <c r="B2047" s="2" t="s">
        <v>1033</v>
      </c>
      <c r="C2047" s="5" t="s">
        <v>1021</v>
      </c>
      <c r="D2047" s="2" t="s">
        <v>3170</v>
      </c>
    </row>
    <row r="2048" spans="1:4" ht="13.05" customHeight="1" x14ac:dyDescent="0.3">
      <c r="A2048" s="2" t="s">
        <v>373</v>
      </c>
      <c r="B2048" s="2" t="s">
        <v>1033</v>
      </c>
      <c r="C2048" s="5" t="s">
        <v>1023</v>
      </c>
      <c r="D2048" s="2" t="s">
        <v>3171</v>
      </c>
    </row>
    <row r="2049" spans="1:4" ht="13.05" customHeight="1" x14ac:dyDescent="0.3">
      <c r="A2049" s="2" t="s">
        <v>373</v>
      </c>
      <c r="B2049" s="2" t="s">
        <v>1033</v>
      </c>
      <c r="C2049" s="5" t="s">
        <v>1025</v>
      </c>
      <c r="D2049" s="2" t="s">
        <v>3172</v>
      </c>
    </row>
    <row r="2050" spans="1:4" ht="13.05" customHeight="1" x14ac:dyDescent="0.3">
      <c r="A2050" s="2" t="s">
        <v>373</v>
      </c>
      <c r="B2050" s="2" t="s">
        <v>1033</v>
      </c>
      <c r="C2050" s="5" t="s">
        <v>1027</v>
      </c>
      <c r="D2050" s="2" t="s">
        <v>3173</v>
      </c>
    </row>
    <row r="2051" spans="1:4" ht="13.05" customHeight="1" x14ac:dyDescent="0.3">
      <c r="A2051" s="2" t="s">
        <v>373</v>
      </c>
      <c r="B2051" s="2" t="s">
        <v>1033</v>
      </c>
      <c r="C2051" s="5" t="s">
        <v>1029</v>
      </c>
      <c r="D2051" s="2" t="s">
        <v>3174</v>
      </c>
    </row>
    <row r="2052" spans="1:4" ht="13.05" customHeight="1" x14ac:dyDescent="0.3">
      <c r="A2052" s="2" t="s">
        <v>373</v>
      </c>
      <c r="B2052" s="2" t="s">
        <v>1033</v>
      </c>
      <c r="C2052" s="5" t="s">
        <v>1031</v>
      </c>
      <c r="D2052" s="2" t="s">
        <v>3175</v>
      </c>
    </row>
    <row r="2053" spans="1:4" ht="13.05" customHeight="1" x14ac:dyDescent="0.3">
      <c r="A2053" s="2" t="s">
        <v>373</v>
      </c>
      <c r="B2053" s="2" t="s">
        <v>1033</v>
      </c>
      <c r="C2053" s="5" t="s">
        <v>1040</v>
      </c>
      <c r="D2053" s="2" t="s">
        <v>3176</v>
      </c>
    </row>
    <row r="2054" spans="1:4" ht="13.05" customHeight="1" x14ac:dyDescent="0.3">
      <c r="A2054" s="2" t="s">
        <v>373</v>
      </c>
      <c r="B2054" s="2" t="s">
        <v>1033</v>
      </c>
      <c r="C2054" s="5" t="s">
        <v>1042</v>
      </c>
      <c r="D2054" s="2" t="s">
        <v>3177</v>
      </c>
    </row>
    <row r="2055" spans="1:4" ht="13.05" customHeight="1" x14ac:dyDescent="0.3">
      <c r="A2055" s="2" t="s">
        <v>373</v>
      </c>
      <c r="B2055" s="2" t="s">
        <v>1033</v>
      </c>
      <c r="C2055" s="5" t="s">
        <v>1061</v>
      </c>
      <c r="D2055" s="2" t="s">
        <v>3178</v>
      </c>
    </row>
    <row r="2056" spans="1:4" ht="13.05" customHeight="1" x14ac:dyDescent="0.3">
      <c r="A2056" s="2" t="s">
        <v>373</v>
      </c>
      <c r="B2056" s="2" t="s">
        <v>1033</v>
      </c>
      <c r="C2056" s="5" t="s">
        <v>1063</v>
      </c>
      <c r="D2056" s="2" t="s">
        <v>3179</v>
      </c>
    </row>
    <row r="2057" spans="1:4" ht="13.05" customHeight="1" x14ac:dyDescent="0.3">
      <c r="A2057" s="2" t="s">
        <v>373</v>
      </c>
      <c r="B2057" s="2" t="s">
        <v>1033</v>
      </c>
      <c r="C2057" s="5" t="s">
        <v>1065</v>
      </c>
      <c r="D2057" s="2" t="s">
        <v>3157</v>
      </c>
    </row>
    <row r="2058" spans="1:4" ht="13.05" customHeight="1" x14ac:dyDescent="0.3">
      <c r="A2058" s="2" t="s">
        <v>375</v>
      </c>
      <c r="B2058" s="2" t="s">
        <v>1033</v>
      </c>
      <c r="C2058" s="5" t="s">
        <v>1015</v>
      </c>
      <c r="D2058" s="2" t="s">
        <v>1016</v>
      </c>
    </row>
    <row r="2059" spans="1:4" ht="13.05" customHeight="1" x14ac:dyDescent="0.3">
      <c r="A2059" s="2" t="s">
        <v>375</v>
      </c>
      <c r="B2059" s="2" t="s">
        <v>1033</v>
      </c>
      <c r="C2059" s="5" t="s">
        <v>1017</v>
      </c>
      <c r="D2059" s="2" t="s">
        <v>1018</v>
      </c>
    </row>
    <row r="2060" spans="1:4" ht="13.05" customHeight="1" x14ac:dyDescent="0.3">
      <c r="A2060" s="2" t="s">
        <v>375</v>
      </c>
      <c r="B2060" s="2" t="s">
        <v>1033</v>
      </c>
      <c r="C2060" s="5" t="s">
        <v>1019</v>
      </c>
      <c r="D2060" s="2" t="s">
        <v>1020</v>
      </c>
    </row>
    <row r="2061" spans="1:4" ht="13.05" customHeight="1" x14ac:dyDescent="0.3">
      <c r="A2061" s="2" t="s">
        <v>375</v>
      </c>
      <c r="B2061" s="2" t="s">
        <v>1033</v>
      </c>
      <c r="C2061" s="5" t="s">
        <v>1021</v>
      </c>
      <c r="D2061" s="2" t="s">
        <v>3170</v>
      </c>
    </row>
    <row r="2062" spans="1:4" ht="13.05" customHeight="1" x14ac:dyDescent="0.3">
      <c r="A2062" s="2" t="s">
        <v>375</v>
      </c>
      <c r="B2062" s="2" t="s">
        <v>1033</v>
      </c>
      <c r="C2062" s="5" t="s">
        <v>1023</v>
      </c>
      <c r="D2062" s="2" t="s">
        <v>3171</v>
      </c>
    </row>
    <row r="2063" spans="1:4" ht="13.05" customHeight="1" x14ac:dyDescent="0.3">
      <c r="A2063" s="2" t="s">
        <v>375</v>
      </c>
      <c r="B2063" s="2" t="s">
        <v>1033</v>
      </c>
      <c r="C2063" s="5" t="s">
        <v>1025</v>
      </c>
      <c r="D2063" s="2" t="s">
        <v>3172</v>
      </c>
    </row>
    <row r="2064" spans="1:4" ht="13.05" customHeight="1" x14ac:dyDescent="0.3">
      <c r="A2064" s="2" t="s">
        <v>375</v>
      </c>
      <c r="B2064" s="2" t="s">
        <v>1033</v>
      </c>
      <c r="C2064" s="5" t="s">
        <v>1027</v>
      </c>
      <c r="D2064" s="2" t="s">
        <v>3173</v>
      </c>
    </row>
    <row r="2065" spans="1:4" ht="13.05" customHeight="1" x14ac:dyDescent="0.3">
      <c r="A2065" s="2" t="s">
        <v>375</v>
      </c>
      <c r="B2065" s="2" t="s">
        <v>1033</v>
      </c>
      <c r="C2065" s="5" t="s">
        <v>1029</v>
      </c>
      <c r="D2065" s="2" t="s">
        <v>3174</v>
      </c>
    </row>
    <row r="2066" spans="1:4" ht="13.05" customHeight="1" x14ac:dyDescent="0.3">
      <c r="A2066" s="2" t="s">
        <v>375</v>
      </c>
      <c r="B2066" s="2" t="s">
        <v>1033</v>
      </c>
      <c r="C2066" s="5" t="s">
        <v>1031</v>
      </c>
      <c r="D2066" s="2" t="s">
        <v>3175</v>
      </c>
    </row>
    <row r="2067" spans="1:4" ht="13.05" customHeight="1" x14ac:dyDescent="0.3">
      <c r="A2067" s="2" t="s">
        <v>375</v>
      </c>
      <c r="B2067" s="2" t="s">
        <v>1033</v>
      </c>
      <c r="C2067" s="5" t="s">
        <v>1040</v>
      </c>
      <c r="D2067" s="2" t="s">
        <v>3176</v>
      </c>
    </row>
    <row r="2068" spans="1:4" ht="13.05" customHeight="1" x14ac:dyDescent="0.3">
      <c r="A2068" s="2" t="s">
        <v>375</v>
      </c>
      <c r="B2068" s="2" t="s">
        <v>1033</v>
      </c>
      <c r="C2068" s="5" t="s">
        <v>1042</v>
      </c>
      <c r="D2068" s="2" t="s">
        <v>3177</v>
      </c>
    </row>
    <row r="2069" spans="1:4" ht="13.05" customHeight="1" x14ac:dyDescent="0.3">
      <c r="A2069" s="2" t="s">
        <v>375</v>
      </c>
      <c r="B2069" s="2" t="s">
        <v>1033</v>
      </c>
      <c r="C2069" s="5" t="s">
        <v>1061</v>
      </c>
      <c r="D2069" s="2" t="s">
        <v>3178</v>
      </c>
    </row>
    <row r="2070" spans="1:4" ht="13.05" customHeight="1" x14ac:dyDescent="0.3">
      <c r="A2070" s="2" t="s">
        <v>375</v>
      </c>
      <c r="B2070" s="2" t="s">
        <v>1033</v>
      </c>
      <c r="C2070" s="5" t="s">
        <v>1063</v>
      </c>
      <c r="D2070" s="2" t="s">
        <v>3179</v>
      </c>
    </row>
    <row r="2071" spans="1:4" ht="13.05" customHeight="1" x14ac:dyDescent="0.3">
      <c r="A2071" s="2" t="s">
        <v>375</v>
      </c>
      <c r="B2071" s="2" t="s">
        <v>1033</v>
      </c>
      <c r="C2071" s="5" t="s">
        <v>1065</v>
      </c>
      <c r="D2071" s="2" t="s">
        <v>3157</v>
      </c>
    </row>
    <row r="2072" spans="1:4" ht="13.05" customHeight="1" x14ac:dyDescent="0.3">
      <c r="A2072" s="2" t="s">
        <v>377</v>
      </c>
      <c r="B2072" s="2" t="s">
        <v>1033</v>
      </c>
      <c r="C2072" s="5" t="s">
        <v>1015</v>
      </c>
      <c r="D2072" s="2" t="s">
        <v>1016</v>
      </c>
    </row>
    <row r="2073" spans="1:4" ht="13.05" customHeight="1" x14ac:dyDescent="0.3">
      <c r="A2073" s="2" t="s">
        <v>377</v>
      </c>
      <c r="B2073" s="2" t="s">
        <v>1033</v>
      </c>
      <c r="C2073" s="5" t="s">
        <v>1017</v>
      </c>
      <c r="D2073" s="2" t="s">
        <v>1018</v>
      </c>
    </row>
    <row r="2074" spans="1:4" ht="13.05" customHeight="1" x14ac:dyDescent="0.3">
      <c r="A2074" s="2" t="s">
        <v>377</v>
      </c>
      <c r="B2074" s="2" t="s">
        <v>1033</v>
      </c>
      <c r="C2074" s="5" t="s">
        <v>1019</v>
      </c>
      <c r="D2074" s="2" t="s">
        <v>1020</v>
      </c>
    </row>
    <row r="2075" spans="1:4" ht="13.05" customHeight="1" x14ac:dyDescent="0.3">
      <c r="A2075" s="2" t="s">
        <v>377</v>
      </c>
      <c r="B2075" s="2" t="s">
        <v>1033</v>
      </c>
      <c r="C2075" s="5" t="s">
        <v>1021</v>
      </c>
      <c r="D2075" s="2" t="s">
        <v>3170</v>
      </c>
    </row>
    <row r="2076" spans="1:4" ht="13.05" customHeight="1" x14ac:dyDescent="0.3">
      <c r="A2076" s="2" t="s">
        <v>377</v>
      </c>
      <c r="B2076" s="2" t="s">
        <v>1033</v>
      </c>
      <c r="C2076" s="5" t="s">
        <v>1023</v>
      </c>
      <c r="D2076" s="2" t="s">
        <v>3171</v>
      </c>
    </row>
    <row r="2077" spans="1:4" ht="13.05" customHeight="1" x14ac:dyDescent="0.3">
      <c r="A2077" s="2" t="s">
        <v>377</v>
      </c>
      <c r="B2077" s="2" t="s">
        <v>1033</v>
      </c>
      <c r="C2077" s="5" t="s">
        <v>1025</v>
      </c>
      <c r="D2077" s="2" t="s">
        <v>3172</v>
      </c>
    </row>
    <row r="2078" spans="1:4" ht="13.05" customHeight="1" x14ac:dyDescent="0.3">
      <c r="A2078" s="2" t="s">
        <v>377</v>
      </c>
      <c r="B2078" s="2" t="s">
        <v>1033</v>
      </c>
      <c r="C2078" s="5" t="s">
        <v>1027</v>
      </c>
      <c r="D2078" s="2" t="s">
        <v>3173</v>
      </c>
    </row>
    <row r="2079" spans="1:4" ht="13.05" customHeight="1" x14ac:dyDescent="0.3">
      <c r="A2079" s="2" t="s">
        <v>377</v>
      </c>
      <c r="B2079" s="2" t="s">
        <v>1033</v>
      </c>
      <c r="C2079" s="5" t="s">
        <v>1029</v>
      </c>
      <c r="D2079" s="2" t="s">
        <v>3174</v>
      </c>
    </row>
    <row r="2080" spans="1:4" ht="13.05" customHeight="1" x14ac:dyDescent="0.3">
      <c r="A2080" s="2" t="s">
        <v>377</v>
      </c>
      <c r="B2080" s="2" t="s">
        <v>1033</v>
      </c>
      <c r="C2080" s="5" t="s">
        <v>1031</v>
      </c>
      <c r="D2080" s="2" t="s">
        <v>3175</v>
      </c>
    </row>
    <row r="2081" spans="1:4" ht="13.05" customHeight="1" x14ac:dyDescent="0.3">
      <c r="A2081" s="2" t="s">
        <v>377</v>
      </c>
      <c r="B2081" s="2" t="s">
        <v>1033</v>
      </c>
      <c r="C2081" s="5" t="s">
        <v>1040</v>
      </c>
      <c r="D2081" s="2" t="s">
        <v>3176</v>
      </c>
    </row>
    <row r="2082" spans="1:4" ht="13.05" customHeight="1" x14ac:dyDescent="0.3">
      <c r="A2082" s="2" t="s">
        <v>377</v>
      </c>
      <c r="B2082" s="2" t="s">
        <v>1033</v>
      </c>
      <c r="C2082" s="5" t="s">
        <v>1042</v>
      </c>
      <c r="D2082" s="2" t="s">
        <v>3177</v>
      </c>
    </row>
    <row r="2083" spans="1:4" ht="13.05" customHeight="1" x14ac:dyDescent="0.3">
      <c r="A2083" s="2" t="s">
        <v>377</v>
      </c>
      <c r="B2083" s="2" t="s">
        <v>1033</v>
      </c>
      <c r="C2083" s="5" t="s">
        <v>1061</v>
      </c>
      <c r="D2083" s="2" t="s">
        <v>3178</v>
      </c>
    </row>
    <row r="2084" spans="1:4" ht="13.05" customHeight="1" x14ac:dyDescent="0.3">
      <c r="A2084" s="2" t="s">
        <v>377</v>
      </c>
      <c r="B2084" s="2" t="s">
        <v>1033</v>
      </c>
      <c r="C2084" s="5" t="s">
        <v>1063</v>
      </c>
      <c r="D2084" s="2" t="s">
        <v>3179</v>
      </c>
    </row>
    <row r="2085" spans="1:4" ht="13.05" customHeight="1" x14ac:dyDescent="0.3">
      <c r="A2085" s="2" t="s">
        <v>377</v>
      </c>
      <c r="B2085" s="2" t="s">
        <v>1033</v>
      </c>
      <c r="C2085" s="5" t="s">
        <v>1065</v>
      </c>
      <c r="D2085" s="2" t="s">
        <v>3157</v>
      </c>
    </row>
    <row r="2086" spans="1:4" ht="13.05" customHeight="1" x14ac:dyDescent="0.3">
      <c r="A2086" s="2" t="s">
        <v>379</v>
      </c>
      <c r="B2086" s="2" t="s">
        <v>1014</v>
      </c>
      <c r="C2086" s="5" t="s">
        <v>1019</v>
      </c>
      <c r="D2086" s="2" t="s">
        <v>1020</v>
      </c>
    </row>
    <row r="2087" spans="1:4" ht="13.05" customHeight="1" x14ac:dyDescent="0.3">
      <c r="A2087" s="2" t="s">
        <v>382</v>
      </c>
      <c r="B2087" s="2" t="s">
        <v>1033</v>
      </c>
      <c r="C2087" s="5" t="s">
        <v>1015</v>
      </c>
      <c r="D2087" s="2" t="s">
        <v>1092</v>
      </c>
    </row>
    <row r="2088" spans="1:4" ht="13.05" customHeight="1" x14ac:dyDescent="0.3">
      <c r="A2088" s="2" t="s">
        <v>382</v>
      </c>
      <c r="B2088" s="2" t="s">
        <v>1033</v>
      </c>
      <c r="C2088" s="5" t="s">
        <v>1017</v>
      </c>
      <c r="D2088" s="2" t="s">
        <v>1086</v>
      </c>
    </row>
    <row r="2089" spans="1:4" ht="13.05" customHeight="1" x14ac:dyDescent="0.3">
      <c r="A2089" s="2" t="s">
        <v>382</v>
      </c>
      <c r="B2089" s="2" t="s">
        <v>1033</v>
      </c>
      <c r="C2089" s="5" t="s">
        <v>1019</v>
      </c>
      <c r="D2089" s="2" t="s">
        <v>1020</v>
      </c>
    </row>
    <row r="2090" spans="1:4" ht="13.05" customHeight="1" x14ac:dyDescent="0.3">
      <c r="A2090" s="2" t="s">
        <v>382</v>
      </c>
      <c r="B2090" s="2" t="s">
        <v>1033</v>
      </c>
      <c r="C2090" s="5" t="s">
        <v>1021</v>
      </c>
      <c r="D2090" s="2" t="s">
        <v>3180</v>
      </c>
    </row>
    <row r="2091" spans="1:4" ht="13.05" customHeight="1" x14ac:dyDescent="0.3">
      <c r="A2091" s="2" t="s">
        <v>382</v>
      </c>
      <c r="B2091" s="2" t="s">
        <v>1033</v>
      </c>
      <c r="C2091" s="5" t="s">
        <v>1023</v>
      </c>
      <c r="D2091" s="2" t="s">
        <v>1198</v>
      </c>
    </row>
    <row r="2092" spans="1:4" ht="13.05" customHeight="1" x14ac:dyDescent="0.3">
      <c r="A2092" s="2" t="s">
        <v>385</v>
      </c>
      <c r="B2092" s="2" t="s">
        <v>1033</v>
      </c>
      <c r="C2092" s="5" t="s">
        <v>1021</v>
      </c>
      <c r="D2092" s="2" t="s">
        <v>3181</v>
      </c>
    </row>
    <row r="2093" spans="1:4" ht="13.05" customHeight="1" x14ac:dyDescent="0.3">
      <c r="A2093" s="2" t="s">
        <v>385</v>
      </c>
      <c r="B2093" s="2" t="s">
        <v>1033</v>
      </c>
      <c r="C2093" s="5" t="s">
        <v>1023</v>
      </c>
      <c r="D2093" s="2" t="s">
        <v>3182</v>
      </c>
    </row>
    <row r="2094" spans="1:4" ht="13.05" customHeight="1" x14ac:dyDescent="0.3">
      <c r="A2094" s="2" t="s">
        <v>390</v>
      </c>
      <c r="B2094" s="2" t="s">
        <v>1033</v>
      </c>
      <c r="C2094" s="5" t="s">
        <v>1044</v>
      </c>
      <c r="D2094" s="2" t="s">
        <v>1045</v>
      </c>
    </row>
    <row r="2095" spans="1:4" ht="13.05" customHeight="1" x14ac:dyDescent="0.3">
      <c r="A2095" s="2" t="s">
        <v>390</v>
      </c>
      <c r="B2095" s="2" t="s">
        <v>1033</v>
      </c>
      <c r="C2095" s="5" t="s">
        <v>1019</v>
      </c>
      <c r="D2095" s="2" t="s">
        <v>1020</v>
      </c>
    </row>
    <row r="2096" spans="1:4" ht="13.05" customHeight="1" x14ac:dyDescent="0.3">
      <c r="A2096" s="2" t="s">
        <v>392</v>
      </c>
      <c r="B2096" s="2" t="s">
        <v>1033</v>
      </c>
      <c r="C2096" s="5" t="s">
        <v>1044</v>
      </c>
      <c r="D2096" s="2" t="s">
        <v>1045</v>
      </c>
    </row>
    <row r="2097" spans="1:4" ht="13.05" customHeight="1" x14ac:dyDescent="0.3">
      <c r="A2097" s="2" t="s">
        <v>392</v>
      </c>
      <c r="B2097" s="2" t="s">
        <v>1033</v>
      </c>
      <c r="C2097" s="5" t="s">
        <v>1021</v>
      </c>
      <c r="D2097" s="2" t="s">
        <v>3183</v>
      </c>
    </row>
    <row r="2098" spans="1:4" ht="13.05" customHeight="1" x14ac:dyDescent="0.3">
      <c r="A2098" s="2" t="s">
        <v>392</v>
      </c>
      <c r="B2098" s="2" t="s">
        <v>1033</v>
      </c>
      <c r="C2098" s="5" t="s">
        <v>1023</v>
      </c>
      <c r="D2098" s="2" t="s">
        <v>3184</v>
      </c>
    </row>
    <row r="2099" spans="1:4" ht="13.05" customHeight="1" x14ac:dyDescent="0.3">
      <c r="A2099" s="2" t="s">
        <v>392</v>
      </c>
      <c r="B2099" s="2" t="s">
        <v>1033</v>
      </c>
      <c r="C2099" s="5" t="s">
        <v>1025</v>
      </c>
      <c r="D2099" s="2" t="s">
        <v>3185</v>
      </c>
    </row>
    <row r="2100" spans="1:4" ht="13.05" customHeight="1" x14ac:dyDescent="0.3">
      <c r="A2100" s="2" t="s">
        <v>392</v>
      </c>
      <c r="B2100" s="2" t="s">
        <v>1033</v>
      </c>
      <c r="C2100" s="5" t="s">
        <v>1027</v>
      </c>
      <c r="D2100" s="2" t="s">
        <v>3186</v>
      </c>
    </row>
    <row r="2101" spans="1:4" ht="13.05" customHeight="1" x14ac:dyDescent="0.3">
      <c r="A2101" s="2" t="s">
        <v>392</v>
      </c>
      <c r="B2101" s="2" t="s">
        <v>1033</v>
      </c>
      <c r="C2101" s="5" t="s">
        <v>1029</v>
      </c>
      <c r="D2101" s="2" t="s">
        <v>3187</v>
      </c>
    </row>
    <row r="2102" spans="1:4" ht="13.05" customHeight="1" x14ac:dyDescent="0.3">
      <c r="A2102" s="2" t="s">
        <v>392</v>
      </c>
      <c r="B2102" s="2" t="s">
        <v>1033</v>
      </c>
      <c r="C2102" s="5" t="s">
        <v>1031</v>
      </c>
      <c r="D2102" s="2" t="s">
        <v>3188</v>
      </c>
    </row>
    <row r="2103" spans="1:4" ht="13.05" customHeight="1" x14ac:dyDescent="0.3">
      <c r="A2103" s="2" t="s">
        <v>392</v>
      </c>
      <c r="B2103" s="2" t="s">
        <v>1033</v>
      </c>
      <c r="C2103" s="5" t="s">
        <v>1040</v>
      </c>
      <c r="D2103" s="2" t="s">
        <v>3189</v>
      </c>
    </row>
    <row r="2104" spans="1:4" ht="13.05" customHeight="1" x14ac:dyDescent="0.3">
      <c r="A2104" s="2" t="s">
        <v>392</v>
      </c>
      <c r="B2104" s="2" t="s">
        <v>1033</v>
      </c>
      <c r="C2104" s="5" t="s">
        <v>1042</v>
      </c>
      <c r="D2104" s="2" t="s">
        <v>3190</v>
      </c>
    </row>
    <row r="2105" spans="1:4" ht="13.05" customHeight="1" x14ac:dyDescent="0.3">
      <c r="A2105" s="2" t="s">
        <v>392</v>
      </c>
      <c r="B2105" s="2" t="s">
        <v>1033</v>
      </c>
      <c r="C2105" s="5" t="s">
        <v>1061</v>
      </c>
      <c r="D2105" s="2" t="s">
        <v>3191</v>
      </c>
    </row>
    <row r="2106" spans="1:4" ht="13.05" customHeight="1" x14ac:dyDescent="0.3">
      <c r="A2106" s="2" t="s">
        <v>392</v>
      </c>
      <c r="B2106" s="2" t="s">
        <v>1033</v>
      </c>
      <c r="C2106" s="5" t="s">
        <v>1063</v>
      </c>
      <c r="D2106" s="2" t="s">
        <v>3192</v>
      </c>
    </row>
    <row r="2107" spans="1:4" ht="13.05" customHeight="1" x14ac:dyDescent="0.3">
      <c r="A2107" s="2" t="s">
        <v>399</v>
      </c>
      <c r="B2107" s="2" t="s">
        <v>1105</v>
      </c>
      <c r="C2107" s="5" t="s">
        <v>1021</v>
      </c>
      <c r="D2107" s="2" t="s">
        <v>3193</v>
      </c>
    </row>
    <row r="2108" spans="1:4" ht="13.05" customHeight="1" x14ac:dyDescent="0.3">
      <c r="A2108" s="2" t="s">
        <v>399</v>
      </c>
      <c r="B2108" s="2" t="s">
        <v>1105</v>
      </c>
      <c r="C2108" s="5" t="s">
        <v>1023</v>
      </c>
      <c r="D2108" s="2" t="s">
        <v>3194</v>
      </c>
    </row>
    <row r="2109" spans="1:4" ht="13.05" customHeight="1" x14ac:dyDescent="0.3">
      <c r="A2109" s="2" t="s">
        <v>399</v>
      </c>
      <c r="B2109" s="2" t="s">
        <v>1105</v>
      </c>
      <c r="C2109" s="5" t="s">
        <v>1025</v>
      </c>
      <c r="D2109" s="2" t="s">
        <v>3195</v>
      </c>
    </row>
    <row r="2110" spans="1:4" ht="13.05" customHeight="1" x14ac:dyDescent="0.3">
      <c r="A2110" s="2" t="s">
        <v>399</v>
      </c>
      <c r="B2110" s="2" t="s">
        <v>1105</v>
      </c>
      <c r="C2110" s="5" t="s">
        <v>1027</v>
      </c>
      <c r="D2110" s="2" t="s">
        <v>3196</v>
      </c>
    </row>
    <row r="2111" spans="1:4" ht="13.05" customHeight="1" x14ac:dyDescent="0.3">
      <c r="A2111" s="2" t="s">
        <v>405</v>
      </c>
      <c r="B2111" s="2" t="s">
        <v>1014</v>
      </c>
      <c r="C2111" s="5" t="s">
        <v>1044</v>
      </c>
      <c r="D2111" s="2" t="s">
        <v>1045</v>
      </c>
    </row>
    <row r="2112" spans="1:4" ht="13.05" customHeight="1" x14ac:dyDescent="0.3">
      <c r="A2112" s="2" t="s">
        <v>405</v>
      </c>
      <c r="B2112" s="2" t="s">
        <v>1014</v>
      </c>
      <c r="C2112" s="5" t="s">
        <v>1015</v>
      </c>
      <c r="D2112" s="2" t="s">
        <v>1092</v>
      </c>
    </row>
    <row r="2113" spans="1:4" ht="13.05" customHeight="1" x14ac:dyDescent="0.3">
      <c r="A2113" s="2" t="s">
        <v>405</v>
      </c>
      <c r="B2113" s="2" t="s">
        <v>1014</v>
      </c>
      <c r="C2113" s="5" t="s">
        <v>1017</v>
      </c>
      <c r="D2113" s="2" t="s">
        <v>1086</v>
      </c>
    </row>
    <row r="2114" spans="1:4" ht="13.05" customHeight="1" x14ac:dyDescent="0.3">
      <c r="A2114" s="2" t="s">
        <v>405</v>
      </c>
      <c r="B2114" s="2" t="s">
        <v>1014</v>
      </c>
      <c r="C2114" s="5" t="s">
        <v>1019</v>
      </c>
      <c r="D2114" s="2" t="s">
        <v>1020</v>
      </c>
    </row>
    <row r="2115" spans="1:4" ht="13.05" customHeight="1" x14ac:dyDescent="0.3">
      <c r="A2115" s="2" t="s">
        <v>408</v>
      </c>
      <c r="B2115" s="2" t="s">
        <v>1014</v>
      </c>
      <c r="C2115" s="5" t="s">
        <v>1044</v>
      </c>
      <c r="D2115" s="2" t="s">
        <v>1045</v>
      </c>
    </row>
    <row r="2116" spans="1:4" ht="13.05" customHeight="1" x14ac:dyDescent="0.3">
      <c r="A2116" s="2" t="s">
        <v>408</v>
      </c>
      <c r="B2116" s="2" t="s">
        <v>1014</v>
      </c>
      <c r="C2116" s="5" t="s">
        <v>1015</v>
      </c>
      <c r="D2116" s="2" t="s">
        <v>1016</v>
      </c>
    </row>
    <row r="2117" spans="1:4" ht="13.05" customHeight="1" x14ac:dyDescent="0.3">
      <c r="A2117" s="2" t="s">
        <v>408</v>
      </c>
      <c r="B2117" s="2" t="s">
        <v>1014</v>
      </c>
      <c r="C2117" s="5" t="s">
        <v>1017</v>
      </c>
      <c r="D2117" s="2" t="s">
        <v>1018</v>
      </c>
    </row>
    <row r="2118" spans="1:4" ht="13.05" customHeight="1" x14ac:dyDescent="0.3">
      <c r="A2118" s="2" t="s">
        <v>408</v>
      </c>
      <c r="B2118" s="2" t="s">
        <v>1014</v>
      </c>
      <c r="C2118" s="5" t="s">
        <v>1021</v>
      </c>
      <c r="D2118" s="2" t="s">
        <v>3197</v>
      </c>
    </row>
    <row r="2119" spans="1:4" ht="13.05" customHeight="1" x14ac:dyDescent="0.3">
      <c r="A2119" s="2" t="s">
        <v>408</v>
      </c>
      <c r="B2119" s="2" t="s">
        <v>1014</v>
      </c>
      <c r="C2119" s="5" t="s">
        <v>1023</v>
      </c>
      <c r="D2119" s="2" t="s">
        <v>3198</v>
      </c>
    </row>
    <row r="2120" spans="1:4" ht="13.05" customHeight="1" x14ac:dyDescent="0.3">
      <c r="A2120" s="2" t="s">
        <v>408</v>
      </c>
      <c r="B2120" s="2" t="s">
        <v>1014</v>
      </c>
      <c r="C2120" s="5" t="s">
        <v>1025</v>
      </c>
      <c r="D2120" s="2" t="s">
        <v>3199</v>
      </c>
    </row>
    <row r="2121" spans="1:4" ht="13.05" customHeight="1" x14ac:dyDescent="0.3">
      <c r="A2121" s="2" t="s">
        <v>408</v>
      </c>
      <c r="B2121" s="2" t="s">
        <v>1014</v>
      </c>
      <c r="C2121" s="5" t="s">
        <v>1027</v>
      </c>
      <c r="D2121" s="2" t="s">
        <v>3200</v>
      </c>
    </row>
    <row r="2122" spans="1:4" ht="13.05" customHeight="1" x14ac:dyDescent="0.3">
      <c r="A2122" s="2" t="s">
        <v>408</v>
      </c>
      <c r="B2122" s="2" t="s">
        <v>1014</v>
      </c>
      <c r="C2122" s="5" t="s">
        <v>1029</v>
      </c>
      <c r="D2122" s="2" t="s">
        <v>3201</v>
      </c>
    </row>
    <row r="2123" spans="1:4" ht="13.05" customHeight="1" x14ac:dyDescent="0.3">
      <c r="A2123" s="2" t="s">
        <v>411</v>
      </c>
      <c r="B2123" s="2" t="s">
        <v>1054</v>
      </c>
      <c r="C2123" s="5" t="s">
        <v>1213</v>
      </c>
      <c r="D2123" s="2" t="s">
        <v>1016</v>
      </c>
    </row>
    <row r="2124" spans="1:4" ht="13.05" customHeight="1" x14ac:dyDescent="0.3">
      <c r="A2124" s="2" t="s">
        <v>411</v>
      </c>
      <c r="B2124" s="2" t="s">
        <v>1054</v>
      </c>
      <c r="C2124" s="5" t="s">
        <v>1015</v>
      </c>
      <c r="D2124" s="2" t="s">
        <v>1016</v>
      </c>
    </row>
    <row r="2125" spans="1:4" ht="13.05" customHeight="1" x14ac:dyDescent="0.3">
      <c r="A2125" s="2" t="s">
        <v>411</v>
      </c>
      <c r="B2125" s="2" t="s">
        <v>1054</v>
      </c>
      <c r="C2125" s="5" t="s">
        <v>1021</v>
      </c>
      <c r="D2125" s="2" t="s">
        <v>3202</v>
      </c>
    </row>
    <row r="2126" spans="1:4" ht="13.05" customHeight="1" x14ac:dyDescent="0.3">
      <c r="A2126" s="2" t="s">
        <v>411</v>
      </c>
      <c r="B2126" s="2" t="s">
        <v>1054</v>
      </c>
      <c r="C2126" s="5" t="s">
        <v>1023</v>
      </c>
      <c r="D2126" s="2" t="s">
        <v>3203</v>
      </c>
    </row>
    <row r="2127" spans="1:4" ht="13.05" customHeight="1" x14ac:dyDescent="0.3">
      <c r="A2127" s="2" t="s">
        <v>411</v>
      </c>
      <c r="B2127" s="2" t="s">
        <v>1054</v>
      </c>
      <c r="C2127" s="5" t="s">
        <v>1025</v>
      </c>
      <c r="D2127" s="2" t="s">
        <v>3204</v>
      </c>
    </row>
    <row r="2128" spans="1:4" ht="13.05" customHeight="1" x14ac:dyDescent="0.3">
      <c r="A2128" s="2" t="s">
        <v>411</v>
      </c>
      <c r="B2128" s="2" t="s">
        <v>1054</v>
      </c>
      <c r="C2128" s="5" t="s">
        <v>1031</v>
      </c>
      <c r="D2128" s="2" t="s">
        <v>3205</v>
      </c>
    </row>
    <row r="2129" spans="1:4" ht="13.05" customHeight="1" x14ac:dyDescent="0.3">
      <c r="A2129" s="2" t="s">
        <v>411</v>
      </c>
      <c r="B2129" s="2" t="s">
        <v>1054</v>
      </c>
      <c r="C2129" s="5" t="s">
        <v>1040</v>
      </c>
      <c r="D2129" s="2" t="s">
        <v>3206</v>
      </c>
    </row>
    <row r="2130" spans="1:4" ht="13.05" customHeight="1" x14ac:dyDescent="0.3">
      <c r="A2130" s="2" t="s">
        <v>411</v>
      </c>
      <c r="B2130" s="2" t="s">
        <v>1054</v>
      </c>
      <c r="C2130" s="5" t="s">
        <v>1042</v>
      </c>
      <c r="D2130" s="2" t="s">
        <v>3207</v>
      </c>
    </row>
    <row r="2131" spans="1:4" ht="13.05" customHeight="1" x14ac:dyDescent="0.3">
      <c r="A2131" s="2" t="s">
        <v>411</v>
      </c>
      <c r="B2131" s="2" t="s">
        <v>1054</v>
      </c>
      <c r="C2131" s="5" t="s">
        <v>1061</v>
      </c>
      <c r="D2131" s="2" t="s">
        <v>3208</v>
      </c>
    </row>
    <row r="2132" spans="1:4" ht="13.05" customHeight="1" x14ac:dyDescent="0.3">
      <c r="A2132" s="2" t="s">
        <v>411</v>
      </c>
      <c r="B2132" s="2" t="s">
        <v>1054</v>
      </c>
      <c r="C2132" s="5" t="s">
        <v>1063</v>
      </c>
      <c r="D2132" s="2" t="s">
        <v>3209</v>
      </c>
    </row>
    <row r="2133" spans="1:4" ht="13.05" customHeight="1" x14ac:dyDescent="0.3">
      <c r="A2133" s="2" t="s">
        <v>411</v>
      </c>
      <c r="B2133" s="2" t="s">
        <v>1054</v>
      </c>
      <c r="C2133" s="5" t="s">
        <v>1067</v>
      </c>
      <c r="D2133" s="2" t="s">
        <v>3210</v>
      </c>
    </row>
    <row r="2134" spans="1:4" ht="13.05" customHeight="1" x14ac:dyDescent="0.3">
      <c r="A2134" s="2" t="s">
        <v>411</v>
      </c>
      <c r="B2134" s="2" t="s">
        <v>1054</v>
      </c>
      <c r="C2134" s="5" t="s">
        <v>1069</v>
      </c>
      <c r="D2134" s="2" t="s">
        <v>3211</v>
      </c>
    </row>
    <row r="2135" spans="1:4" ht="13.05" customHeight="1" x14ac:dyDescent="0.3">
      <c r="A2135" s="2" t="s">
        <v>411</v>
      </c>
      <c r="B2135" s="2" t="s">
        <v>1054</v>
      </c>
      <c r="C2135" s="5" t="s">
        <v>1071</v>
      </c>
      <c r="D2135" s="2" t="s">
        <v>3212</v>
      </c>
    </row>
    <row r="2136" spans="1:4" ht="13.05" customHeight="1" x14ac:dyDescent="0.3">
      <c r="A2136" s="2" t="s">
        <v>411</v>
      </c>
      <c r="B2136" s="2" t="s">
        <v>1054</v>
      </c>
      <c r="C2136" s="5" t="s">
        <v>1079</v>
      </c>
      <c r="D2136" s="2" t="s">
        <v>3213</v>
      </c>
    </row>
    <row r="2137" spans="1:4" ht="13.05" customHeight="1" x14ac:dyDescent="0.3">
      <c r="A2137" s="2" t="s">
        <v>411</v>
      </c>
      <c r="B2137" s="2" t="s">
        <v>1054</v>
      </c>
      <c r="C2137" s="5" t="s">
        <v>1081</v>
      </c>
      <c r="D2137" s="2" t="s">
        <v>3214</v>
      </c>
    </row>
    <row r="2138" spans="1:4" ht="13.05" customHeight="1" x14ac:dyDescent="0.3">
      <c r="A2138" s="2" t="s">
        <v>411</v>
      </c>
      <c r="B2138" s="2" t="s">
        <v>1054</v>
      </c>
      <c r="C2138" s="5" t="s">
        <v>1222</v>
      </c>
      <c r="D2138" s="2" t="s">
        <v>3215</v>
      </c>
    </row>
    <row r="2139" spans="1:4" ht="13.05" customHeight="1" x14ac:dyDescent="0.3">
      <c r="A2139" s="2" t="s">
        <v>411</v>
      </c>
      <c r="B2139" s="2" t="s">
        <v>1054</v>
      </c>
      <c r="C2139" s="5" t="s">
        <v>1114</v>
      </c>
      <c r="D2139" s="2" t="s">
        <v>3216</v>
      </c>
    </row>
    <row r="2140" spans="1:4" ht="13.05" customHeight="1" x14ac:dyDescent="0.3">
      <c r="A2140" s="2" t="s">
        <v>411</v>
      </c>
      <c r="B2140" s="2" t="s">
        <v>1054</v>
      </c>
      <c r="C2140" s="5" t="s">
        <v>1116</v>
      </c>
      <c r="D2140" s="2" t="s">
        <v>3217</v>
      </c>
    </row>
    <row r="2141" spans="1:4" ht="13.05" customHeight="1" x14ac:dyDescent="0.3">
      <c r="A2141" s="2" t="s">
        <v>411</v>
      </c>
      <c r="B2141" s="2" t="s">
        <v>1054</v>
      </c>
      <c r="C2141" s="5" t="s">
        <v>1118</v>
      </c>
      <c r="D2141" s="2" t="s">
        <v>3218</v>
      </c>
    </row>
    <row r="2142" spans="1:4" ht="13.05" customHeight="1" x14ac:dyDescent="0.3">
      <c r="A2142" s="2" t="s">
        <v>411</v>
      </c>
      <c r="B2142" s="2" t="s">
        <v>1054</v>
      </c>
      <c r="C2142" s="5" t="s">
        <v>1120</v>
      </c>
      <c r="D2142" s="2" t="s">
        <v>3219</v>
      </c>
    </row>
    <row r="2143" spans="1:4" ht="13.05" customHeight="1" x14ac:dyDescent="0.3">
      <c r="A2143" s="2" t="s">
        <v>411</v>
      </c>
      <c r="B2143" s="2" t="s">
        <v>1054</v>
      </c>
      <c r="C2143" s="5" t="s">
        <v>3099</v>
      </c>
      <c r="D2143" s="2" t="s">
        <v>3220</v>
      </c>
    </row>
    <row r="2144" spans="1:4" ht="13.05" customHeight="1" x14ac:dyDescent="0.3">
      <c r="A2144" s="2" t="s">
        <v>411</v>
      </c>
      <c r="B2144" s="2" t="s">
        <v>1054</v>
      </c>
      <c r="C2144" s="5" t="s">
        <v>3101</v>
      </c>
      <c r="D2144" s="2" t="s">
        <v>3221</v>
      </c>
    </row>
    <row r="2145" spans="1:4" ht="13.05" customHeight="1" x14ac:dyDescent="0.3">
      <c r="A2145" s="2" t="s">
        <v>411</v>
      </c>
      <c r="B2145" s="2" t="s">
        <v>1054</v>
      </c>
      <c r="C2145" s="5" t="s">
        <v>3107</v>
      </c>
      <c r="D2145" s="2" t="s">
        <v>3222</v>
      </c>
    </row>
    <row r="2146" spans="1:4" ht="13.05" customHeight="1" x14ac:dyDescent="0.3">
      <c r="A2146" s="2" t="s">
        <v>411</v>
      </c>
      <c r="B2146" s="2" t="s">
        <v>1054</v>
      </c>
      <c r="C2146" s="5" t="s">
        <v>1224</v>
      </c>
      <c r="D2146" s="2" t="s">
        <v>3223</v>
      </c>
    </row>
    <row r="2147" spans="1:4" ht="13.05" customHeight="1" x14ac:dyDescent="0.3">
      <c r="A2147" s="2" t="s">
        <v>411</v>
      </c>
      <c r="B2147" s="2" t="s">
        <v>1054</v>
      </c>
      <c r="C2147" s="5" t="s">
        <v>1122</v>
      </c>
      <c r="D2147" s="2" t="s">
        <v>3224</v>
      </c>
    </row>
    <row r="2148" spans="1:4" ht="13.05" customHeight="1" x14ac:dyDescent="0.3">
      <c r="A2148" s="2" t="s">
        <v>411</v>
      </c>
      <c r="B2148" s="2" t="s">
        <v>1054</v>
      </c>
      <c r="C2148" s="5" t="s">
        <v>1124</v>
      </c>
      <c r="D2148" s="2" t="s">
        <v>3225</v>
      </c>
    </row>
    <row r="2149" spans="1:4" ht="13.05" customHeight="1" x14ac:dyDescent="0.3">
      <c r="A2149" s="2" t="s">
        <v>411</v>
      </c>
      <c r="B2149" s="2" t="s">
        <v>1054</v>
      </c>
      <c r="C2149" s="5" t="s">
        <v>1126</v>
      </c>
      <c r="D2149" s="2" t="s">
        <v>3226</v>
      </c>
    </row>
    <row r="2150" spans="1:4" ht="13.05" customHeight="1" x14ac:dyDescent="0.3">
      <c r="A2150" s="2" t="s">
        <v>411</v>
      </c>
      <c r="B2150" s="2" t="s">
        <v>1054</v>
      </c>
      <c r="C2150" s="5" t="s">
        <v>1128</v>
      </c>
      <c r="D2150" s="2" t="s">
        <v>3227</v>
      </c>
    </row>
    <row r="2151" spans="1:4" ht="13.05" customHeight="1" x14ac:dyDescent="0.3">
      <c r="A2151" s="2" t="s">
        <v>411</v>
      </c>
      <c r="B2151" s="2" t="s">
        <v>1054</v>
      </c>
      <c r="C2151" s="5" t="s">
        <v>3114</v>
      </c>
      <c r="D2151" s="2" t="s">
        <v>3228</v>
      </c>
    </row>
    <row r="2152" spans="1:4" ht="13.05" customHeight="1" x14ac:dyDescent="0.3">
      <c r="A2152" s="2" t="s">
        <v>411</v>
      </c>
      <c r="B2152" s="2" t="s">
        <v>1054</v>
      </c>
      <c r="C2152" s="5" t="s">
        <v>3116</v>
      </c>
      <c r="D2152" s="2" t="s">
        <v>3229</v>
      </c>
    </row>
    <row r="2153" spans="1:4" ht="13.05" customHeight="1" x14ac:dyDescent="0.3">
      <c r="A2153" s="2" t="s">
        <v>411</v>
      </c>
      <c r="B2153" s="2" t="s">
        <v>1054</v>
      </c>
      <c r="C2153" s="5" t="s">
        <v>3118</v>
      </c>
      <c r="D2153" s="2" t="s">
        <v>3230</v>
      </c>
    </row>
    <row r="2154" spans="1:4" ht="13.05" customHeight="1" x14ac:dyDescent="0.3">
      <c r="A2154" s="2" t="s">
        <v>411</v>
      </c>
      <c r="B2154" s="2" t="s">
        <v>1054</v>
      </c>
      <c r="C2154" s="5" t="s">
        <v>3120</v>
      </c>
      <c r="D2154" s="2" t="s">
        <v>3231</v>
      </c>
    </row>
    <row r="2155" spans="1:4" ht="13.05" customHeight="1" x14ac:dyDescent="0.3">
      <c r="A2155" s="2" t="s">
        <v>411</v>
      </c>
      <c r="B2155" s="2" t="s">
        <v>1054</v>
      </c>
      <c r="C2155" s="5" t="s">
        <v>3122</v>
      </c>
      <c r="D2155" s="2" t="s">
        <v>3232</v>
      </c>
    </row>
    <row r="2156" spans="1:4" ht="13.05" customHeight="1" x14ac:dyDescent="0.3">
      <c r="A2156" s="2" t="s">
        <v>411</v>
      </c>
      <c r="B2156" s="2" t="s">
        <v>1054</v>
      </c>
      <c r="C2156" s="5" t="s">
        <v>1226</v>
      </c>
      <c r="D2156" s="2" t="s">
        <v>3233</v>
      </c>
    </row>
    <row r="2157" spans="1:4" ht="13.05" customHeight="1" x14ac:dyDescent="0.3">
      <c r="A2157" s="2" t="s">
        <v>411</v>
      </c>
      <c r="B2157" s="2" t="s">
        <v>1054</v>
      </c>
      <c r="C2157" s="5" t="s">
        <v>1130</v>
      </c>
      <c r="D2157" s="2" t="s">
        <v>3234</v>
      </c>
    </row>
    <row r="2158" spans="1:4" ht="13.05" customHeight="1" x14ac:dyDescent="0.3">
      <c r="A2158" s="2" t="s">
        <v>411</v>
      </c>
      <c r="B2158" s="2" t="s">
        <v>1054</v>
      </c>
      <c r="C2158" s="5" t="s">
        <v>1132</v>
      </c>
      <c r="D2158" s="2" t="s">
        <v>3235</v>
      </c>
    </row>
    <row r="2159" spans="1:4" ht="13.05" customHeight="1" x14ac:dyDescent="0.3">
      <c r="A2159" s="2" t="s">
        <v>411</v>
      </c>
      <c r="B2159" s="2" t="s">
        <v>1054</v>
      </c>
      <c r="C2159" s="5" t="s">
        <v>1134</v>
      </c>
      <c r="D2159" s="2" t="s">
        <v>3236</v>
      </c>
    </row>
    <row r="2160" spans="1:4" ht="13.05" customHeight="1" x14ac:dyDescent="0.3">
      <c r="A2160" s="2" t="s">
        <v>411</v>
      </c>
      <c r="B2160" s="2" t="s">
        <v>1054</v>
      </c>
      <c r="C2160" s="5" t="s">
        <v>1136</v>
      </c>
      <c r="D2160" s="2" t="s">
        <v>3237</v>
      </c>
    </row>
    <row r="2161" spans="1:4" ht="13.05" customHeight="1" x14ac:dyDescent="0.3">
      <c r="A2161" s="2" t="s">
        <v>411</v>
      </c>
      <c r="B2161" s="2" t="s">
        <v>1054</v>
      </c>
      <c r="C2161" s="5" t="s">
        <v>3128</v>
      </c>
      <c r="D2161" s="2" t="s">
        <v>3238</v>
      </c>
    </row>
    <row r="2162" spans="1:4" ht="13.05" customHeight="1" x14ac:dyDescent="0.3">
      <c r="A2162" s="2" t="s">
        <v>411</v>
      </c>
      <c r="B2162" s="2" t="s">
        <v>1054</v>
      </c>
      <c r="C2162" s="5" t="s">
        <v>3130</v>
      </c>
      <c r="D2162" s="2" t="s">
        <v>3239</v>
      </c>
    </row>
    <row r="2163" spans="1:4" ht="13.05" customHeight="1" x14ac:dyDescent="0.3">
      <c r="A2163" s="2" t="s">
        <v>411</v>
      </c>
      <c r="B2163" s="2" t="s">
        <v>1054</v>
      </c>
      <c r="C2163" s="5" t="s">
        <v>3132</v>
      </c>
      <c r="D2163" s="2" t="s">
        <v>3240</v>
      </c>
    </row>
    <row r="2164" spans="1:4" ht="13.05" customHeight="1" x14ac:dyDescent="0.3">
      <c r="A2164" s="2" t="s">
        <v>411</v>
      </c>
      <c r="B2164" s="2" t="s">
        <v>1054</v>
      </c>
      <c r="C2164" s="5" t="s">
        <v>3134</v>
      </c>
      <c r="D2164" s="2" t="s">
        <v>3241</v>
      </c>
    </row>
    <row r="2165" spans="1:4" ht="13.05" customHeight="1" x14ac:dyDescent="0.3">
      <c r="A2165" s="2" t="s">
        <v>411</v>
      </c>
      <c r="B2165" s="2" t="s">
        <v>1054</v>
      </c>
      <c r="C2165" s="5" t="s">
        <v>3136</v>
      </c>
      <c r="D2165" s="2" t="s">
        <v>3242</v>
      </c>
    </row>
    <row r="2166" spans="1:4" ht="13.05" customHeight="1" x14ac:dyDescent="0.3">
      <c r="A2166" s="2" t="s">
        <v>411</v>
      </c>
      <c r="B2166" s="2" t="s">
        <v>1054</v>
      </c>
      <c r="C2166" s="5" t="s">
        <v>1228</v>
      </c>
      <c r="D2166" s="2" t="s">
        <v>3243</v>
      </c>
    </row>
    <row r="2167" spans="1:4" ht="13.05" customHeight="1" x14ac:dyDescent="0.3">
      <c r="A2167" s="2" t="s">
        <v>411</v>
      </c>
      <c r="B2167" s="2" t="s">
        <v>1054</v>
      </c>
      <c r="C2167" s="5" t="s">
        <v>1138</v>
      </c>
      <c r="D2167" s="2" t="s">
        <v>3244</v>
      </c>
    </row>
    <row r="2168" spans="1:4" ht="13.05" customHeight="1" x14ac:dyDescent="0.3">
      <c r="A2168" s="2" t="s">
        <v>411</v>
      </c>
      <c r="B2168" s="2" t="s">
        <v>1054</v>
      </c>
      <c r="C2168" s="5" t="s">
        <v>1140</v>
      </c>
      <c r="D2168" s="2" t="s">
        <v>3245</v>
      </c>
    </row>
    <row r="2169" spans="1:4" ht="13.05" customHeight="1" x14ac:dyDescent="0.3">
      <c r="A2169" s="2" t="s">
        <v>411</v>
      </c>
      <c r="B2169" s="2" t="s">
        <v>1054</v>
      </c>
      <c r="C2169" s="5" t="s">
        <v>1142</v>
      </c>
      <c r="D2169" s="2" t="s">
        <v>3246</v>
      </c>
    </row>
    <row r="2170" spans="1:4" ht="13.05" customHeight="1" x14ac:dyDescent="0.3">
      <c r="A2170" s="2" t="s">
        <v>411</v>
      </c>
      <c r="B2170" s="2" t="s">
        <v>1054</v>
      </c>
      <c r="C2170" s="5" t="s">
        <v>1144</v>
      </c>
      <c r="D2170" s="2" t="s">
        <v>3247</v>
      </c>
    </row>
    <row r="2171" spans="1:4" ht="13.05" customHeight="1" x14ac:dyDescent="0.3">
      <c r="A2171" s="2" t="s">
        <v>411</v>
      </c>
      <c r="B2171" s="2" t="s">
        <v>1054</v>
      </c>
      <c r="C2171" s="5" t="s">
        <v>3142</v>
      </c>
      <c r="D2171" s="2" t="s">
        <v>3248</v>
      </c>
    </row>
    <row r="2172" spans="1:4" ht="13.05" customHeight="1" x14ac:dyDescent="0.3">
      <c r="A2172" s="2" t="s">
        <v>411</v>
      </c>
      <c r="B2172" s="2" t="s">
        <v>1054</v>
      </c>
      <c r="C2172" s="5" t="s">
        <v>3144</v>
      </c>
      <c r="D2172" s="2" t="s">
        <v>3249</v>
      </c>
    </row>
    <row r="2173" spans="1:4" ht="13.05" customHeight="1" x14ac:dyDescent="0.3">
      <c r="A2173" s="2" t="s">
        <v>411</v>
      </c>
      <c r="B2173" s="2" t="s">
        <v>1054</v>
      </c>
      <c r="C2173" s="5" t="s">
        <v>3250</v>
      </c>
      <c r="D2173" s="2" t="s">
        <v>3251</v>
      </c>
    </row>
    <row r="2174" spans="1:4" ht="13.05" customHeight="1" x14ac:dyDescent="0.3">
      <c r="A2174" s="2" t="s">
        <v>411</v>
      </c>
      <c r="B2174" s="2" t="s">
        <v>1054</v>
      </c>
      <c r="C2174" s="5" t="s">
        <v>3252</v>
      </c>
      <c r="D2174" s="2" t="s">
        <v>3253</v>
      </c>
    </row>
    <row r="2175" spans="1:4" ht="13.05" customHeight="1" x14ac:dyDescent="0.3">
      <c r="A2175" s="2" t="s">
        <v>411</v>
      </c>
      <c r="B2175" s="2" t="s">
        <v>1054</v>
      </c>
      <c r="C2175" s="5" t="s">
        <v>3254</v>
      </c>
      <c r="D2175" s="2" t="s">
        <v>3255</v>
      </c>
    </row>
    <row r="2176" spans="1:4" ht="13.05" customHeight="1" x14ac:dyDescent="0.3">
      <c r="A2176" s="2" t="s">
        <v>411</v>
      </c>
      <c r="B2176" s="2" t="s">
        <v>1054</v>
      </c>
      <c r="C2176" s="5" t="s">
        <v>1230</v>
      </c>
      <c r="D2176" s="2" t="s">
        <v>3256</v>
      </c>
    </row>
    <row r="2177" spans="1:4" ht="13.05" customHeight="1" x14ac:dyDescent="0.3">
      <c r="A2177" s="2" t="s">
        <v>411</v>
      </c>
      <c r="B2177" s="2" t="s">
        <v>1054</v>
      </c>
      <c r="C2177" s="5" t="s">
        <v>1146</v>
      </c>
      <c r="D2177" s="2" t="s">
        <v>3257</v>
      </c>
    </row>
    <row r="2178" spans="1:4" ht="13.05" customHeight="1" x14ac:dyDescent="0.3">
      <c r="A2178" s="2" t="s">
        <v>411</v>
      </c>
      <c r="B2178" s="2" t="s">
        <v>1054</v>
      </c>
      <c r="C2178" s="5" t="s">
        <v>1148</v>
      </c>
      <c r="D2178" s="2" t="s">
        <v>3258</v>
      </c>
    </row>
    <row r="2179" spans="1:4" ht="13.05" customHeight="1" x14ac:dyDescent="0.3">
      <c r="A2179" s="2" t="s">
        <v>411</v>
      </c>
      <c r="B2179" s="2" t="s">
        <v>1054</v>
      </c>
      <c r="C2179" s="5" t="s">
        <v>1150</v>
      </c>
      <c r="D2179" s="2" t="s">
        <v>3259</v>
      </c>
    </row>
    <row r="2180" spans="1:4" ht="13.05" customHeight="1" x14ac:dyDescent="0.3">
      <c r="A2180" s="2" t="s">
        <v>411</v>
      </c>
      <c r="B2180" s="2" t="s">
        <v>1054</v>
      </c>
      <c r="C2180" s="5" t="s">
        <v>1152</v>
      </c>
      <c r="D2180" s="2" t="s">
        <v>3260</v>
      </c>
    </row>
    <row r="2181" spans="1:4" ht="13.05" customHeight="1" x14ac:dyDescent="0.3">
      <c r="A2181" s="2" t="s">
        <v>411</v>
      </c>
      <c r="B2181" s="2" t="s">
        <v>1054</v>
      </c>
      <c r="C2181" s="5" t="s">
        <v>3261</v>
      </c>
      <c r="D2181" s="2" t="s">
        <v>3262</v>
      </c>
    </row>
    <row r="2182" spans="1:4" ht="13.05" customHeight="1" x14ac:dyDescent="0.3">
      <c r="A2182" s="2" t="s">
        <v>411</v>
      </c>
      <c r="B2182" s="2" t="s">
        <v>1054</v>
      </c>
      <c r="C2182" s="5" t="s">
        <v>3263</v>
      </c>
      <c r="D2182" s="2" t="s">
        <v>3264</v>
      </c>
    </row>
    <row r="2183" spans="1:4" ht="13.05" customHeight="1" x14ac:dyDescent="0.3">
      <c r="A2183" s="2" t="s">
        <v>411</v>
      </c>
      <c r="B2183" s="2" t="s">
        <v>1054</v>
      </c>
      <c r="C2183" s="5" t="s">
        <v>3265</v>
      </c>
      <c r="D2183" s="2" t="s">
        <v>3266</v>
      </c>
    </row>
    <row r="2184" spans="1:4" ht="13.05" customHeight="1" x14ac:dyDescent="0.3">
      <c r="A2184" s="2" t="s">
        <v>411</v>
      </c>
      <c r="B2184" s="2" t="s">
        <v>1054</v>
      </c>
      <c r="C2184" s="5" t="s">
        <v>1232</v>
      </c>
      <c r="D2184" s="2" t="s">
        <v>3267</v>
      </c>
    </row>
    <row r="2185" spans="1:4" ht="13.05" customHeight="1" x14ac:dyDescent="0.3">
      <c r="A2185" s="2" t="s">
        <v>411</v>
      </c>
      <c r="B2185" s="2" t="s">
        <v>1054</v>
      </c>
      <c r="C2185" s="5" t="s">
        <v>1154</v>
      </c>
      <c r="D2185" s="2" t="s">
        <v>3268</v>
      </c>
    </row>
    <row r="2186" spans="1:4" ht="13.05" customHeight="1" x14ac:dyDescent="0.3">
      <c r="A2186" s="2" t="s">
        <v>411</v>
      </c>
      <c r="B2186" s="2" t="s">
        <v>1054</v>
      </c>
      <c r="C2186" s="5" t="s">
        <v>1156</v>
      </c>
      <c r="D2186" s="2" t="s">
        <v>3269</v>
      </c>
    </row>
    <row r="2187" spans="1:4" ht="13.05" customHeight="1" x14ac:dyDescent="0.3">
      <c r="A2187" s="2" t="s">
        <v>411</v>
      </c>
      <c r="B2187" s="2" t="s">
        <v>1054</v>
      </c>
      <c r="C2187" s="5" t="s">
        <v>1158</v>
      </c>
      <c r="D2187" s="2" t="s">
        <v>3270</v>
      </c>
    </row>
    <row r="2188" spans="1:4" ht="13.05" customHeight="1" x14ac:dyDescent="0.3">
      <c r="A2188" s="2" t="s">
        <v>411</v>
      </c>
      <c r="B2188" s="2" t="s">
        <v>1054</v>
      </c>
      <c r="C2188" s="5" t="s">
        <v>1160</v>
      </c>
      <c r="D2188" s="2" t="s">
        <v>3271</v>
      </c>
    </row>
    <row r="2189" spans="1:4" ht="13.05" customHeight="1" x14ac:dyDescent="0.3">
      <c r="A2189" s="2" t="s">
        <v>411</v>
      </c>
      <c r="B2189" s="2" t="s">
        <v>1054</v>
      </c>
      <c r="C2189" s="5" t="s">
        <v>3162</v>
      </c>
      <c r="D2189" s="2" t="s">
        <v>3272</v>
      </c>
    </row>
    <row r="2190" spans="1:4" ht="13.05" customHeight="1" x14ac:dyDescent="0.3">
      <c r="A2190" s="2" t="s">
        <v>411</v>
      </c>
      <c r="B2190" s="2" t="s">
        <v>1054</v>
      </c>
      <c r="C2190" s="5" t="s">
        <v>3273</v>
      </c>
      <c r="D2190" s="2" t="s">
        <v>3274</v>
      </c>
    </row>
    <row r="2191" spans="1:4" ht="13.05" customHeight="1" x14ac:dyDescent="0.3">
      <c r="A2191" s="2" t="s">
        <v>411</v>
      </c>
      <c r="B2191" s="2" t="s">
        <v>1054</v>
      </c>
      <c r="C2191" s="5" t="s">
        <v>3275</v>
      </c>
      <c r="D2191" s="2" t="s">
        <v>3276</v>
      </c>
    </row>
    <row r="2192" spans="1:4" ht="13.05" customHeight="1" x14ac:dyDescent="0.3">
      <c r="A2192" s="2" t="s">
        <v>411</v>
      </c>
      <c r="B2192" s="2" t="s">
        <v>1054</v>
      </c>
      <c r="C2192" s="5" t="s">
        <v>1234</v>
      </c>
      <c r="D2192" s="2" t="s">
        <v>3277</v>
      </c>
    </row>
    <row r="2193" spans="1:4" ht="13.05" customHeight="1" x14ac:dyDescent="0.3">
      <c r="A2193" s="2" t="s">
        <v>411</v>
      </c>
      <c r="B2193" s="2" t="s">
        <v>1054</v>
      </c>
      <c r="C2193" s="5" t="s">
        <v>1162</v>
      </c>
      <c r="D2193" s="2" t="s">
        <v>3278</v>
      </c>
    </row>
    <row r="2194" spans="1:4" ht="13.05" customHeight="1" x14ac:dyDescent="0.3">
      <c r="A2194" s="2" t="s">
        <v>411</v>
      </c>
      <c r="B2194" s="2" t="s">
        <v>1054</v>
      </c>
      <c r="C2194" s="5" t="s">
        <v>1164</v>
      </c>
      <c r="D2194" s="2" t="s">
        <v>3279</v>
      </c>
    </row>
    <row r="2195" spans="1:4" ht="13.05" customHeight="1" x14ac:dyDescent="0.3">
      <c r="A2195" s="2" t="s">
        <v>411</v>
      </c>
      <c r="B2195" s="2" t="s">
        <v>1054</v>
      </c>
      <c r="C2195" s="5" t="s">
        <v>1166</v>
      </c>
      <c r="D2195" s="2" t="s">
        <v>3280</v>
      </c>
    </row>
    <row r="2196" spans="1:4" ht="13.05" customHeight="1" x14ac:dyDescent="0.3">
      <c r="A2196" s="2" t="s">
        <v>411</v>
      </c>
      <c r="B2196" s="2" t="s">
        <v>1054</v>
      </c>
      <c r="C2196" s="5" t="s">
        <v>1168</v>
      </c>
      <c r="D2196" s="2" t="s">
        <v>3281</v>
      </c>
    </row>
    <row r="2197" spans="1:4" ht="13.05" customHeight="1" x14ac:dyDescent="0.3">
      <c r="A2197" s="2" t="s">
        <v>411</v>
      </c>
      <c r="B2197" s="2" t="s">
        <v>1054</v>
      </c>
      <c r="C2197" s="5" t="s">
        <v>3282</v>
      </c>
      <c r="D2197" s="2" t="s">
        <v>3283</v>
      </c>
    </row>
    <row r="2198" spans="1:4" ht="13.05" customHeight="1" x14ac:dyDescent="0.3">
      <c r="A2198" s="2" t="s">
        <v>411</v>
      </c>
      <c r="B2198" s="2" t="s">
        <v>1054</v>
      </c>
      <c r="C2198" s="5" t="s">
        <v>3284</v>
      </c>
      <c r="D2198" s="2" t="s">
        <v>3285</v>
      </c>
    </row>
    <row r="2199" spans="1:4" ht="13.05" customHeight="1" x14ac:dyDescent="0.3">
      <c r="A2199" s="2" t="s">
        <v>411</v>
      </c>
      <c r="B2199" s="2" t="s">
        <v>1054</v>
      </c>
      <c r="C2199" s="5" t="s">
        <v>3286</v>
      </c>
      <c r="D2199" s="2" t="s">
        <v>3287</v>
      </c>
    </row>
    <row r="2200" spans="1:4" ht="13.05" customHeight="1" x14ac:dyDescent="0.3">
      <c r="A2200" s="2" t="s">
        <v>411</v>
      </c>
      <c r="B2200" s="2" t="s">
        <v>1054</v>
      </c>
      <c r="C2200" s="5" t="s">
        <v>3288</v>
      </c>
      <c r="D2200" s="2" t="s">
        <v>3289</v>
      </c>
    </row>
    <row r="2201" spans="1:4" ht="13.05" customHeight="1" x14ac:dyDescent="0.3">
      <c r="A2201" s="2" t="s">
        <v>411</v>
      </c>
      <c r="B2201" s="2" t="s">
        <v>1054</v>
      </c>
      <c r="C2201" s="5" t="s">
        <v>3290</v>
      </c>
      <c r="D2201" s="2" t="s">
        <v>3291</v>
      </c>
    </row>
    <row r="2202" spans="1:4" ht="13.05" customHeight="1" x14ac:dyDescent="0.3">
      <c r="A2202" s="2" t="s">
        <v>411</v>
      </c>
      <c r="B2202" s="2" t="s">
        <v>1054</v>
      </c>
      <c r="C2202" s="5" t="s">
        <v>1236</v>
      </c>
      <c r="D2202" s="2" t="s">
        <v>3292</v>
      </c>
    </row>
    <row r="2203" spans="1:4" ht="13.05" customHeight="1" x14ac:dyDescent="0.3">
      <c r="A2203" s="2" t="s">
        <v>411</v>
      </c>
      <c r="B2203" s="2" t="s">
        <v>1054</v>
      </c>
      <c r="C2203" s="5" t="s">
        <v>1170</v>
      </c>
      <c r="D2203" s="2" t="s">
        <v>3293</v>
      </c>
    </row>
    <row r="2204" spans="1:4" ht="13.05" customHeight="1" x14ac:dyDescent="0.3">
      <c r="A2204" s="2" t="s">
        <v>411</v>
      </c>
      <c r="B2204" s="2" t="s">
        <v>1054</v>
      </c>
      <c r="C2204" s="5" t="s">
        <v>1172</v>
      </c>
      <c r="D2204" s="2" t="s">
        <v>3294</v>
      </c>
    </row>
    <row r="2205" spans="1:4" ht="13.05" customHeight="1" x14ac:dyDescent="0.3">
      <c r="A2205" s="2" t="s">
        <v>411</v>
      </c>
      <c r="B2205" s="2" t="s">
        <v>1054</v>
      </c>
      <c r="C2205" s="5" t="s">
        <v>1174</v>
      </c>
      <c r="D2205" s="2" t="s">
        <v>3295</v>
      </c>
    </row>
    <row r="2206" spans="1:4" ht="13.05" customHeight="1" x14ac:dyDescent="0.3">
      <c r="A2206" s="2" t="s">
        <v>411</v>
      </c>
      <c r="B2206" s="2" t="s">
        <v>1054</v>
      </c>
      <c r="C2206" s="5" t="s">
        <v>1176</v>
      </c>
      <c r="D2206" s="2" t="s">
        <v>3296</v>
      </c>
    </row>
    <row r="2207" spans="1:4" ht="13.05" customHeight="1" x14ac:dyDescent="0.3">
      <c r="A2207" s="2" t="s">
        <v>411</v>
      </c>
      <c r="B2207" s="2" t="s">
        <v>1054</v>
      </c>
      <c r="C2207" s="5" t="s">
        <v>3297</v>
      </c>
      <c r="D2207" s="2" t="s">
        <v>3298</v>
      </c>
    </row>
    <row r="2208" spans="1:4" ht="13.05" customHeight="1" x14ac:dyDescent="0.3">
      <c r="A2208" s="2" t="s">
        <v>411</v>
      </c>
      <c r="B2208" s="2" t="s">
        <v>1054</v>
      </c>
      <c r="C2208" s="5" t="s">
        <v>3299</v>
      </c>
      <c r="D2208" s="2" t="s">
        <v>3300</v>
      </c>
    </row>
    <row r="2209" spans="1:4" ht="13.05" customHeight="1" x14ac:dyDescent="0.3">
      <c r="A2209" s="2" t="s">
        <v>411</v>
      </c>
      <c r="B2209" s="2" t="s">
        <v>1054</v>
      </c>
      <c r="C2209" s="5" t="s">
        <v>3301</v>
      </c>
      <c r="D2209" s="2" t="s">
        <v>1083</v>
      </c>
    </row>
    <row r="2210" spans="1:4" ht="13.05" customHeight="1" x14ac:dyDescent="0.3">
      <c r="A2210" s="2" t="s">
        <v>414</v>
      </c>
      <c r="B2210" s="2" t="s">
        <v>1054</v>
      </c>
      <c r="C2210" s="5" t="s">
        <v>1019</v>
      </c>
      <c r="D2210" s="2" t="s">
        <v>1020</v>
      </c>
    </row>
    <row r="2211" spans="1:4" ht="13.05" customHeight="1" x14ac:dyDescent="0.3">
      <c r="A2211" s="2" t="s">
        <v>417</v>
      </c>
      <c r="B2211" s="2" t="s">
        <v>1014</v>
      </c>
      <c r="C2211" s="5" t="s">
        <v>1044</v>
      </c>
      <c r="D2211" s="2" t="s">
        <v>1045</v>
      </c>
    </row>
    <row r="2212" spans="1:4" ht="13.05" customHeight="1" x14ac:dyDescent="0.3">
      <c r="A2212" s="2" t="s">
        <v>417</v>
      </c>
      <c r="B2212" s="2" t="s">
        <v>1014</v>
      </c>
      <c r="C2212" s="5" t="s">
        <v>1015</v>
      </c>
      <c r="D2212" s="2" t="s">
        <v>1016</v>
      </c>
    </row>
    <row r="2213" spans="1:4" ht="13.05" customHeight="1" x14ac:dyDescent="0.3">
      <c r="A2213" s="2" t="s">
        <v>417</v>
      </c>
      <c r="B2213" s="2" t="s">
        <v>1014</v>
      </c>
      <c r="C2213" s="5" t="s">
        <v>1017</v>
      </c>
      <c r="D2213" s="2" t="s">
        <v>1018</v>
      </c>
    </row>
    <row r="2214" spans="1:4" ht="13.05" customHeight="1" x14ac:dyDescent="0.3">
      <c r="A2214" s="2" t="s">
        <v>417</v>
      </c>
      <c r="B2214" s="2" t="s">
        <v>1014</v>
      </c>
      <c r="C2214" s="5" t="s">
        <v>1019</v>
      </c>
      <c r="D2214" s="2" t="s">
        <v>1020</v>
      </c>
    </row>
    <row r="2215" spans="1:4" ht="13.05" customHeight="1" x14ac:dyDescent="0.3">
      <c r="A2215" s="2" t="s">
        <v>417</v>
      </c>
      <c r="B2215" s="2" t="s">
        <v>1014</v>
      </c>
      <c r="C2215" s="5" t="s">
        <v>1219</v>
      </c>
      <c r="D2215" s="2" t="s">
        <v>1104</v>
      </c>
    </row>
    <row r="2216" spans="1:4" ht="13.05" customHeight="1" x14ac:dyDescent="0.3">
      <c r="A2216" s="2" t="s">
        <v>417</v>
      </c>
      <c r="B2216" s="2" t="s">
        <v>1014</v>
      </c>
      <c r="C2216" s="5" t="s">
        <v>1021</v>
      </c>
      <c r="D2216" s="2" t="s">
        <v>3302</v>
      </c>
    </row>
    <row r="2217" spans="1:4" ht="13.05" customHeight="1" x14ac:dyDescent="0.3">
      <c r="A2217" s="2" t="s">
        <v>417</v>
      </c>
      <c r="B2217" s="2" t="s">
        <v>1014</v>
      </c>
      <c r="C2217" s="5" t="s">
        <v>1023</v>
      </c>
      <c r="D2217" s="2" t="s">
        <v>3303</v>
      </c>
    </row>
    <row r="2218" spans="1:4" ht="13.05" customHeight="1" x14ac:dyDescent="0.3">
      <c r="A2218" s="2" t="s">
        <v>417</v>
      </c>
      <c r="B2218" s="2" t="s">
        <v>1014</v>
      </c>
      <c r="C2218" s="5" t="s">
        <v>1025</v>
      </c>
      <c r="D2218" s="2" t="s">
        <v>3304</v>
      </c>
    </row>
    <row r="2219" spans="1:4" ht="13.05" customHeight="1" x14ac:dyDescent="0.3">
      <c r="A2219" s="2" t="s">
        <v>417</v>
      </c>
      <c r="B2219" s="2" t="s">
        <v>1014</v>
      </c>
      <c r="C2219" s="5" t="s">
        <v>1027</v>
      </c>
      <c r="D2219" s="2" t="s">
        <v>3305</v>
      </c>
    </row>
    <row r="2220" spans="1:4" ht="13.05" customHeight="1" x14ac:dyDescent="0.3">
      <c r="A2220" s="2" t="s">
        <v>417</v>
      </c>
      <c r="B2220" s="2" t="s">
        <v>1014</v>
      </c>
      <c r="C2220" s="5" t="s">
        <v>1029</v>
      </c>
      <c r="D2220" s="2" t="s">
        <v>3306</v>
      </c>
    </row>
    <row r="2221" spans="1:4" ht="13.05" customHeight="1" x14ac:dyDescent="0.3">
      <c r="A2221" s="2" t="s">
        <v>417</v>
      </c>
      <c r="B2221" s="2" t="s">
        <v>1014</v>
      </c>
      <c r="C2221" s="5" t="s">
        <v>1031</v>
      </c>
      <c r="D2221" s="2" t="s">
        <v>3307</v>
      </c>
    </row>
    <row r="2222" spans="1:4" ht="13.05" customHeight="1" x14ac:dyDescent="0.3">
      <c r="A2222" s="2" t="s">
        <v>417</v>
      </c>
      <c r="B2222" s="2" t="s">
        <v>1014</v>
      </c>
      <c r="C2222" s="5" t="s">
        <v>1040</v>
      </c>
      <c r="D2222" s="2" t="s">
        <v>3308</v>
      </c>
    </row>
    <row r="2223" spans="1:4" ht="13.05" customHeight="1" x14ac:dyDescent="0.3">
      <c r="A2223" s="2" t="s">
        <v>417</v>
      </c>
      <c r="B2223" s="2" t="s">
        <v>1014</v>
      </c>
      <c r="C2223" s="5" t="s">
        <v>1042</v>
      </c>
      <c r="D2223" s="2" t="s">
        <v>3309</v>
      </c>
    </row>
    <row r="2224" spans="1:4" ht="13.05" customHeight="1" x14ac:dyDescent="0.3">
      <c r="A2224" s="2" t="s">
        <v>417</v>
      </c>
      <c r="B2224" s="2" t="s">
        <v>1014</v>
      </c>
      <c r="C2224" s="5" t="s">
        <v>1052</v>
      </c>
      <c r="D2224" s="2" t="s">
        <v>1083</v>
      </c>
    </row>
    <row r="2225" spans="1:4" ht="13.05" customHeight="1" x14ac:dyDescent="0.3">
      <c r="A2225" s="2" t="s">
        <v>420</v>
      </c>
      <c r="B2225" s="2" t="s">
        <v>1014</v>
      </c>
      <c r="C2225" s="5" t="s">
        <v>1019</v>
      </c>
      <c r="D2225" s="2" t="s">
        <v>1020</v>
      </c>
    </row>
    <row r="2226" spans="1:4" ht="13.05" customHeight="1" x14ac:dyDescent="0.3">
      <c r="A2226" s="2" t="s">
        <v>423</v>
      </c>
      <c r="B2226" s="2" t="s">
        <v>1014</v>
      </c>
      <c r="C2226" s="5" t="s">
        <v>1044</v>
      </c>
      <c r="D2226" s="2" t="s">
        <v>1045</v>
      </c>
    </row>
    <row r="2227" spans="1:4" ht="13.05" customHeight="1" x14ac:dyDescent="0.3">
      <c r="A2227" s="2" t="s">
        <v>423</v>
      </c>
      <c r="B2227" s="2" t="s">
        <v>1014</v>
      </c>
      <c r="C2227" s="5" t="s">
        <v>1015</v>
      </c>
      <c r="D2227" s="2" t="s">
        <v>1092</v>
      </c>
    </row>
    <row r="2228" spans="1:4" ht="13.05" customHeight="1" x14ac:dyDescent="0.3">
      <c r="A2228" s="2" t="s">
        <v>423</v>
      </c>
      <c r="B2228" s="2" t="s">
        <v>1014</v>
      </c>
      <c r="C2228" s="5" t="s">
        <v>1017</v>
      </c>
      <c r="D2228" s="2" t="s">
        <v>1086</v>
      </c>
    </row>
    <row r="2229" spans="1:4" ht="13.05" customHeight="1" x14ac:dyDescent="0.3">
      <c r="A2229" s="2" t="s">
        <v>423</v>
      </c>
      <c r="B2229" s="2" t="s">
        <v>1014</v>
      </c>
      <c r="C2229" s="5" t="s">
        <v>1019</v>
      </c>
      <c r="D2229" s="2" t="s">
        <v>1020</v>
      </c>
    </row>
    <row r="2230" spans="1:4" ht="13.05" customHeight="1" x14ac:dyDescent="0.3">
      <c r="A2230" s="2" t="s">
        <v>426</v>
      </c>
      <c r="B2230" s="2" t="s">
        <v>1014</v>
      </c>
      <c r="C2230" s="5" t="s">
        <v>1044</v>
      </c>
      <c r="D2230" s="2" t="s">
        <v>1045</v>
      </c>
    </row>
    <row r="2231" spans="1:4" ht="13.05" customHeight="1" x14ac:dyDescent="0.3">
      <c r="A2231" s="2" t="s">
        <v>426</v>
      </c>
      <c r="B2231" s="2" t="s">
        <v>1014</v>
      </c>
      <c r="C2231" s="5" t="s">
        <v>1015</v>
      </c>
      <c r="D2231" s="2" t="s">
        <v>1092</v>
      </c>
    </row>
    <row r="2232" spans="1:4" ht="13.05" customHeight="1" x14ac:dyDescent="0.3">
      <c r="A2232" s="2" t="s">
        <v>426</v>
      </c>
      <c r="B2232" s="2" t="s">
        <v>1014</v>
      </c>
      <c r="C2232" s="5" t="s">
        <v>1017</v>
      </c>
      <c r="D2232" s="2" t="s">
        <v>1086</v>
      </c>
    </row>
    <row r="2233" spans="1:4" ht="13.05" customHeight="1" x14ac:dyDescent="0.3">
      <c r="A2233" s="2" t="s">
        <v>426</v>
      </c>
      <c r="B2233" s="2" t="s">
        <v>1014</v>
      </c>
      <c r="C2233" s="5" t="s">
        <v>1021</v>
      </c>
      <c r="D2233" s="2" t="s">
        <v>1106</v>
      </c>
    </row>
    <row r="2234" spans="1:4" ht="13.05" customHeight="1" x14ac:dyDescent="0.3">
      <c r="A2234" s="2" t="s">
        <v>426</v>
      </c>
      <c r="B2234" s="2" t="s">
        <v>1014</v>
      </c>
      <c r="C2234" s="5" t="s">
        <v>1023</v>
      </c>
      <c r="D2234" s="2" t="s">
        <v>1107</v>
      </c>
    </row>
    <row r="2235" spans="1:4" ht="13.05" customHeight="1" x14ac:dyDescent="0.3">
      <c r="A2235" s="2" t="s">
        <v>429</v>
      </c>
      <c r="B2235" s="2" t="s">
        <v>1014</v>
      </c>
      <c r="C2235" s="5" t="s">
        <v>1015</v>
      </c>
      <c r="D2235" s="2" t="s">
        <v>1016</v>
      </c>
    </row>
    <row r="2236" spans="1:4" ht="13.05" customHeight="1" x14ac:dyDescent="0.3">
      <c r="A2236" s="2" t="s">
        <v>429</v>
      </c>
      <c r="B2236" s="2" t="s">
        <v>1014</v>
      </c>
      <c r="C2236" s="5" t="s">
        <v>1017</v>
      </c>
      <c r="D2236" s="2" t="s">
        <v>1018</v>
      </c>
    </row>
    <row r="2237" spans="1:4" ht="13.05" customHeight="1" x14ac:dyDescent="0.3">
      <c r="A2237" s="2" t="s">
        <v>429</v>
      </c>
      <c r="B2237" s="2" t="s">
        <v>1014</v>
      </c>
      <c r="C2237" s="5" t="s">
        <v>1019</v>
      </c>
      <c r="D2237" s="2" t="s">
        <v>1020</v>
      </c>
    </row>
    <row r="2238" spans="1:4" ht="13.05" customHeight="1" x14ac:dyDescent="0.3">
      <c r="A2238" s="2" t="s">
        <v>429</v>
      </c>
      <c r="B2238" s="2" t="s">
        <v>1014</v>
      </c>
      <c r="C2238" s="5" t="s">
        <v>1021</v>
      </c>
      <c r="D2238" s="2" t="s">
        <v>3310</v>
      </c>
    </row>
    <row r="2239" spans="1:4" ht="13.05" customHeight="1" x14ac:dyDescent="0.3">
      <c r="A2239" s="2" t="s">
        <v>429</v>
      </c>
      <c r="B2239" s="2" t="s">
        <v>1014</v>
      </c>
      <c r="C2239" s="5" t="s">
        <v>1023</v>
      </c>
      <c r="D2239" s="2" t="s">
        <v>3311</v>
      </c>
    </row>
    <row r="2240" spans="1:4" ht="13.05" customHeight="1" x14ac:dyDescent="0.3">
      <c r="A2240" s="2" t="s">
        <v>429</v>
      </c>
      <c r="B2240" s="2" t="s">
        <v>1014</v>
      </c>
      <c r="C2240" s="5" t="s">
        <v>1025</v>
      </c>
      <c r="D2240" s="2" t="s">
        <v>3312</v>
      </c>
    </row>
    <row r="2241" spans="1:4" ht="13.05" customHeight="1" x14ac:dyDescent="0.3">
      <c r="A2241" s="2" t="s">
        <v>432</v>
      </c>
      <c r="B2241" s="2" t="s">
        <v>1054</v>
      </c>
      <c r="C2241" s="5" t="s">
        <v>1213</v>
      </c>
      <c r="D2241" s="2" t="s">
        <v>1016</v>
      </c>
    </row>
    <row r="2242" spans="1:4" ht="13.05" customHeight="1" x14ac:dyDescent="0.3">
      <c r="A2242" s="2" t="s">
        <v>432</v>
      </c>
      <c r="B2242" s="2" t="s">
        <v>1054</v>
      </c>
      <c r="C2242" s="5" t="s">
        <v>1015</v>
      </c>
      <c r="D2242" s="2" t="s">
        <v>1016</v>
      </c>
    </row>
    <row r="2243" spans="1:4" ht="13.05" customHeight="1" x14ac:dyDescent="0.3">
      <c r="A2243" s="2" t="s">
        <v>432</v>
      </c>
      <c r="B2243" s="2" t="s">
        <v>1054</v>
      </c>
      <c r="C2243" s="5" t="s">
        <v>3313</v>
      </c>
      <c r="D2243" s="2" t="s">
        <v>3314</v>
      </c>
    </row>
    <row r="2244" spans="1:4" ht="13.05" customHeight="1" x14ac:dyDescent="0.3">
      <c r="A2244" s="2" t="s">
        <v>432</v>
      </c>
      <c r="B2244" s="2" t="s">
        <v>1054</v>
      </c>
      <c r="C2244" s="5" t="s">
        <v>3315</v>
      </c>
      <c r="D2244" s="2" t="s">
        <v>3316</v>
      </c>
    </row>
    <row r="2245" spans="1:4" ht="13.05" customHeight="1" x14ac:dyDescent="0.3">
      <c r="A2245" s="2" t="s">
        <v>432</v>
      </c>
      <c r="B2245" s="2" t="s">
        <v>1054</v>
      </c>
      <c r="C2245" s="5" t="s">
        <v>3317</v>
      </c>
      <c r="D2245" s="2" t="s">
        <v>3318</v>
      </c>
    </row>
    <row r="2246" spans="1:4" ht="13.05" customHeight="1" x14ac:dyDescent="0.3">
      <c r="A2246" s="2" t="s">
        <v>432</v>
      </c>
      <c r="B2246" s="2" t="s">
        <v>1054</v>
      </c>
      <c r="C2246" s="5" t="s">
        <v>3319</v>
      </c>
      <c r="D2246" s="2" t="s">
        <v>3320</v>
      </c>
    </row>
    <row r="2247" spans="1:4" ht="13.05" customHeight="1" x14ac:dyDescent="0.3">
      <c r="A2247" s="2" t="s">
        <v>432</v>
      </c>
      <c r="B2247" s="2" t="s">
        <v>1054</v>
      </c>
      <c r="C2247" s="5" t="s">
        <v>3321</v>
      </c>
      <c r="D2247" s="2" t="s">
        <v>3322</v>
      </c>
    </row>
    <row r="2248" spans="1:4" ht="13.05" customHeight="1" x14ac:dyDescent="0.3">
      <c r="A2248" s="2" t="s">
        <v>432</v>
      </c>
      <c r="B2248" s="2" t="s">
        <v>1054</v>
      </c>
      <c r="C2248" s="5" t="s">
        <v>3323</v>
      </c>
      <c r="D2248" s="2" t="s">
        <v>3324</v>
      </c>
    </row>
    <row r="2249" spans="1:4" ht="13.05" customHeight="1" x14ac:dyDescent="0.3">
      <c r="A2249" s="2" t="s">
        <v>432</v>
      </c>
      <c r="B2249" s="2" t="s">
        <v>1054</v>
      </c>
      <c r="C2249" s="5" t="s">
        <v>3325</v>
      </c>
      <c r="D2249" s="2" t="s">
        <v>3326</v>
      </c>
    </row>
    <row r="2250" spans="1:4" ht="13.05" customHeight="1" x14ac:dyDescent="0.3">
      <c r="A2250" s="2" t="s">
        <v>432</v>
      </c>
      <c r="B2250" s="2" t="s">
        <v>1054</v>
      </c>
      <c r="C2250" s="5" t="s">
        <v>3327</v>
      </c>
      <c r="D2250" s="2" t="s">
        <v>3328</v>
      </c>
    </row>
    <row r="2251" spans="1:4" ht="13.05" customHeight="1" x14ac:dyDescent="0.3">
      <c r="A2251" s="2" t="s">
        <v>432</v>
      </c>
      <c r="B2251" s="2" t="s">
        <v>1054</v>
      </c>
      <c r="C2251" s="5" t="s">
        <v>3329</v>
      </c>
      <c r="D2251" s="2" t="s">
        <v>3209</v>
      </c>
    </row>
    <row r="2252" spans="1:4" ht="13.05" customHeight="1" x14ac:dyDescent="0.3">
      <c r="A2252" s="2" t="s">
        <v>432</v>
      </c>
      <c r="B2252" s="2" t="s">
        <v>1054</v>
      </c>
      <c r="C2252" s="5" t="s">
        <v>3330</v>
      </c>
      <c r="D2252" s="2" t="s">
        <v>3331</v>
      </c>
    </row>
    <row r="2253" spans="1:4" ht="13.05" customHeight="1" x14ac:dyDescent="0.3">
      <c r="A2253" s="2" t="s">
        <v>432</v>
      </c>
      <c r="B2253" s="2" t="s">
        <v>1054</v>
      </c>
      <c r="C2253" s="5" t="s">
        <v>3332</v>
      </c>
      <c r="D2253" s="2" t="s">
        <v>3333</v>
      </c>
    </row>
    <row r="2254" spans="1:4" ht="13.05" customHeight="1" x14ac:dyDescent="0.3">
      <c r="A2254" s="2" t="s">
        <v>432</v>
      </c>
      <c r="B2254" s="2" t="s">
        <v>1054</v>
      </c>
      <c r="C2254" s="5" t="s">
        <v>3334</v>
      </c>
      <c r="D2254" s="2" t="s">
        <v>3335</v>
      </c>
    </row>
    <row r="2255" spans="1:4" ht="13.05" customHeight="1" x14ac:dyDescent="0.3">
      <c r="A2255" s="2" t="s">
        <v>432</v>
      </c>
      <c r="B2255" s="2" t="s">
        <v>1054</v>
      </c>
      <c r="C2255" s="5" t="s">
        <v>3336</v>
      </c>
      <c r="D2255" s="2" t="s">
        <v>3337</v>
      </c>
    </row>
    <row r="2256" spans="1:4" ht="13.05" customHeight="1" x14ac:dyDescent="0.3">
      <c r="A2256" s="2" t="s">
        <v>432</v>
      </c>
      <c r="B2256" s="2" t="s">
        <v>1054</v>
      </c>
      <c r="C2256" s="5" t="s">
        <v>3338</v>
      </c>
      <c r="D2256" s="2" t="s">
        <v>3339</v>
      </c>
    </row>
    <row r="2257" spans="1:4" ht="13.05" customHeight="1" x14ac:dyDescent="0.3">
      <c r="A2257" s="2" t="s">
        <v>432</v>
      </c>
      <c r="B2257" s="2" t="s">
        <v>1054</v>
      </c>
      <c r="C2257" s="5" t="s">
        <v>3340</v>
      </c>
      <c r="D2257" s="2" t="s">
        <v>3341</v>
      </c>
    </row>
    <row r="2258" spans="1:4" ht="13.05" customHeight="1" x14ac:dyDescent="0.3">
      <c r="A2258" s="2" t="s">
        <v>432</v>
      </c>
      <c r="B2258" s="2" t="s">
        <v>1054</v>
      </c>
      <c r="C2258" s="5" t="s">
        <v>3342</v>
      </c>
      <c r="D2258" s="2" t="s">
        <v>3343</v>
      </c>
    </row>
    <row r="2259" spans="1:4" ht="13.05" customHeight="1" x14ac:dyDescent="0.3">
      <c r="A2259" s="2" t="s">
        <v>432</v>
      </c>
      <c r="B2259" s="2" t="s">
        <v>1054</v>
      </c>
      <c r="C2259" s="5" t="s">
        <v>3344</v>
      </c>
      <c r="D2259" s="2" t="s">
        <v>3345</v>
      </c>
    </row>
    <row r="2260" spans="1:4" ht="13.05" customHeight="1" x14ac:dyDescent="0.3">
      <c r="A2260" s="2" t="s">
        <v>432</v>
      </c>
      <c r="B2260" s="2" t="s">
        <v>1054</v>
      </c>
      <c r="C2260" s="5" t="s">
        <v>3346</v>
      </c>
      <c r="D2260" s="2" t="s">
        <v>3347</v>
      </c>
    </row>
    <row r="2261" spans="1:4" ht="13.05" customHeight="1" x14ac:dyDescent="0.3">
      <c r="A2261" s="2" t="s">
        <v>432</v>
      </c>
      <c r="B2261" s="2" t="s">
        <v>1054</v>
      </c>
      <c r="C2261" s="5" t="s">
        <v>3348</v>
      </c>
      <c r="D2261" s="2" t="s">
        <v>3349</v>
      </c>
    </row>
    <row r="2262" spans="1:4" ht="13.05" customHeight="1" x14ac:dyDescent="0.3">
      <c r="A2262" s="2" t="s">
        <v>432</v>
      </c>
      <c r="B2262" s="2" t="s">
        <v>1054</v>
      </c>
      <c r="C2262" s="5" t="s">
        <v>3350</v>
      </c>
      <c r="D2262" s="2" t="s">
        <v>3351</v>
      </c>
    </row>
    <row r="2263" spans="1:4" ht="13.05" customHeight="1" x14ac:dyDescent="0.3">
      <c r="A2263" s="2" t="s">
        <v>432</v>
      </c>
      <c r="B2263" s="2" t="s">
        <v>1054</v>
      </c>
      <c r="C2263" s="5" t="s">
        <v>3352</v>
      </c>
      <c r="D2263" s="2" t="s">
        <v>3353</v>
      </c>
    </row>
    <row r="2264" spans="1:4" ht="13.05" customHeight="1" x14ac:dyDescent="0.3">
      <c r="A2264" s="2" t="s">
        <v>432</v>
      </c>
      <c r="B2264" s="2" t="s">
        <v>1054</v>
      </c>
      <c r="C2264" s="5" t="s">
        <v>3354</v>
      </c>
      <c r="D2264" s="2" t="s">
        <v>3355</v>
      </c>
    </row>
    <row r="2265" spans="1:4" ht="13.05" customHeight="1" x14ac:dyDescent="0.3">
      <c r="A2265" s="2" t="s">
        <v>432</v>
      </c>
      <c r="B2265" s="2" t="s">
        <v>1054</v>
      </c>
      <c r="C2265" s="5" t="s">
        <v>3356</v>
      </c>
      <c r="D2265" s="2" t="s">
        <v>3357</v>
      </c>
    </row>
    <row r="2266" spans="1:4" ht="13.05" customHeight="1" x14ac:dyDescent="0.3">
      <c r="A2266" s="2" t="s">
        <v>432</v>
      </c>
      <c r="B2266" s="2" t="s">
        <v>1054</v>
      </c>
      <c r="C2266" s="5" t="s">
        <v>3358</v>
      </c>
      <c r="D2266" s="2" t="s">
        <v>3359</v>
      </c>
    </row>
    <row r="2267" spans="1:4" ht="13.05" customHeight="1" x14ac:dyDescent="0.3">
      <c r="A2267" s="2" t="s">
        <v>432</v>
      </c>
      <c r="B2267" s="2" t="s">
        <v>1054</v>
      </c>
      <c r="C2267" s="5" t="s">
        <v>3360</v>
      </c>
      <c r="D2267" s="2" t="s">
        <v>3361</v>
      </c>
    </row>
    <row r="2268" spans="1:4" ht="13.05" customHeight="1" x14ac:dyDescent="0.3">
      <c r="A2268" s="2" t="s">
        <v>432</v>
      </c>
      <c r="B2268" s="2" t="s">
        <v>1054</v>
      </c>
      <c r="C2268" s="5" t="s">
        <v>3362</v>
      </c>
      <c r="D2268" s="2" t="s">
        <v>3363</v>
      </c>
    </row>
    <row r="2269" spans="1:4" ht="13.05" customHeight="1" x14ac:dyDescent="0.3">
      <c r="A2269" s="2" t="s">
        <v>432</v>
      </c>
      <c r="B2269" s="2" t="s">
        <v>1054</v>
      </c>
      <c r="C2269" s="5" t="s">
        <v>3364</v>
      </c>
      <c r="D2269" s="2" t="s">
        <v>3365</v>
      </c>
    </row>
    <row r="2270" spans="1:4" ht="13.05" customHeight="1" x14ac:dyDescent="0.3">
      <c r="A2270" s="2" t="s">
        <v>432</v>
      </c>
      <c r="B2270" s="2" t="s">
        <v>1054</v>
      </c>
      <c r="C2270" s="5" t="s">
        <v>3366</v>
      </c>
      <c r="D2270" s="2" t="s">
        <v>3367</v>
      </c>
    </row>
    <row r="2271" spans="1:4" ht="13.05" customHeight="1" x14ac:dyDescent="0.3">
      <c r="A2271" s="2" t="s">
        <v>432</v>
      </c>
      <c r="B2271" s="2" t="s">
        <v>1054</v>
      </c>
      <c r="C2271" s="5" t="s">
        <v>3368</v>
      </c>
      <c r="D2271" s="2" t="s">
        <v>3369</v>
      </c>
    </row>
    <row r="2272" spans="1:4" ht="13.05" customHeight="1" x14ac:dyDescent="0.3">
      <c r="A2272" s="2" t="s">
        <v>432</v>
      </c>
      <c r="B2272" s="2" t="s">
        <v>1054</v>
      </c>
      <c r="C2272" s="5" t="s">
        <v>3370</v>
      </c>
      <c r="D2272" s="2" t="s">
        <v>3371</v>
      </c>
    </row>
    <row r="2273" spans="1:4" ht="13.05" customHeight="1" x14ac:dyDescent="0.3">
      <c r="A2273" s="2" t="s">
        <v>432</v>
      </c>
      <c r="B2273" s="2" t="s">
        <v>1054</v>
      </c>
      <c r="C2273" s="5" t="s">
        <v>3372</v>
      </c>
      <c r="D2273" s="2" t="s">
        <v>3373</v>
      </c>
    </row>
    <row r="2274" spans="1:4" ht="13.05" customHeight="1" x14ac:dyDescent="0.3">
      <c r="A2274" s="2" t="s">
        <v>432</v>
      </c>
      <c r="B2274" s="2" t="s">
        <v>1054</v>
      </c>
      <c r="C2274" s="5" t="s">
        <v>3374</v>
      </c>
      <c r="D2274" s="2" t="s">
        <v>3375</v>
      </c>
    </row>
    <row r="2275" spans="1:4" ht="13.05" customHeight="1" x14ac:dyDescent="0.3">
      <c r="A2275" s="2" t="s">
        <v>432</v>
      </c>
      <c r="B2275" s="2" t="s">
        <v>1054</v>
      </c>
      <c r="C2275" s="5" t="s">
        <v>3376</v>
      </c>
      <c r="D2275" s="2" t="s">
        <v>3377</v>
      </c>
    </row>
    <row r="2276" spans="1:4" ht="13.05" customHeight="1" x14ac:dyDescent="0.3">
      <c r="A2276" s="2" t="s">
        <v>432</v>
      </c>
      <c r="B2276" s="2" t="s">
        <v>1054</v>
      </c>
      <c r="C2276" s="5" t="s">
        <v>3378</v>
      </c>
      <c r="D2276" s="2" t="s">
        <v>3379</v>
      </c>
    </row>
    <row r="2277" spans="1:4" ht="13.05" customHeight="1" x14ac:dyDescent="0.3">
      <c r="A2277" s="2" t="s">
        <v>432</v>
      </c>
      <c r="B2277" s="2" t="s">
        <v>1054</v>
      </c>
      <c r="C2277" s="5" t="s">
        <v>3380</v>
      </c>
      <c r="D2277" s="2" t="s">
        <v>3381</v>
      </c>
    </row>
    <row r="2278" spans="1:4" ht="13.05" customHeight="1" x14ac:dyDescent="0.3">
      <c r="A2278" s="2" t="s">
        <v>432</v>
      </c>
      <c r="B2278" s="2" t="s">
        <v>1054</v>
      </c>
      <c r="C2278" s="5" t="s">
        <v>3382</v>
      </c>
      <c r="D2278" s="2" t="s">
        <v>3383</v>
      </c>
    </row>
    <row r="2279" spans="1:4" ht="13.05" customHeight="1" x14ac:dyDescent="0.3">
      <c r="A2279" s="2" t="s">
        <v>432</v>
      </c>
      <c r="B2279" s="2" t="s">
        <v>1054</v>
      </c>
      <c r="C2279" s="5" t="s">
        <v>3384</v>
      </c>
      <c r="D2279" s="2" t="s">
        <v>3385</v>
      </c>
    </row>
    <row r="2280" spans="1:4" ht="13.05" customHeight="1" x14ac:dyDescent="0.3">
      <c r="A2280" s="2" t="s">
        <v>432</v>
      </c>
      <c r="B2280" s="2" t="s">
        <v>1054</v>
      </c>
      <c r="C2280" s="5" t="s">
        <v>3386</v>
      </c>
      <c r="D2280" s="2" t="s">
        <v>3387</v>
      </c>
    </row>
    <row r="2281" spans="1:4" ht="13.05" customHeight="1" x14ac:dyDescent="0.3">
      <c r="A2281" s="2" t="s">
        <v>432</v>
      </c>
      <c r="B2281" s="2" t="s">
        <v>1054</v>
      </c>
      <c r="C2281" s="5" t="s">
        <v>3388</v>
      </c>
      <c r="D2281" s="2" t="s">
        <v>3389</v>
      </c>
    </row>
    <row r="2282" spans="1:4" ht="13.05" customHeight="1" x14ac:dyDescent="0.3">
      <c r="A2282" s="2" t="s">
        <v>432</v>
      </c>
      <c r="B2282" s="2" t="s">
        <v>1054</v>
      </c>
      <c r="C2282" s="5" t="s">
        <v>3390</v>
      </c>
      <c r="D2282" s="2" t="s">
        <v>3391</v>
      </c>
    </row>
    <row r="2283" spans="1:4" ht="13.05" customHeight="1" x14ac:dyDescent="0.3">
      <c r="A2283" s="2" t="s">
        <v>432</v>
      </c>
      <c r="B2283" s="2" t="s">
        <v>1054</v>
      </c>
      <c r="C2283" s="5" t="s">
        <v>3392</v>
      </c>
      <c r="D2283" s="2" t="s">
        <v>3393</v>
      </c>
    </row>
    <row r="2284" spans="1:4" ht="13.05" customHeight="1" x14ac:dyDescent="0.3">
      <c r="A2284" s="2" t="s">
        <v>432</v>
      </c>
      <c r="B2284" s="2" t="s">
        <v>1054</v>
      </c>
      <c r="C2284" s="5" t="s">
        <v>3394</v>
      </c>
      <c r="D2284" s="2" t="s">
        <v>3395</v>
      </c>
    </row>
    <row r="2285" spans="1:4" ht="13.05" customHeight="1" x14ac:dyDescent="0.3">
      <c r="A2285" s="2" t="s">
        <v>432</v>
      </c>
      <c r="B2285" s="2" t="s">
        <v>1054</v>
      </c>
      <c r="C2285" s="5" t="s">
        <v>3396</v>
      </c>
      <c r="D2285" s="2" t="s">
        <v>3397</v>
      </c>
    </row>
    <row r="2286" spans="1:4" ht="13.05" customHeight="1" x14ac:dyDescent="0.3">
      <c r="A2286" s="2" t="s">
        <v>432</v>
      </c>
      <c r="B2286" s="2" t="s">
        <v>1054</v>
      </c>
      <c r="C2286" s="5" t="s">
        <v>3398</v>
      </c>
      <c r="D2286" s="2" t="s">
        <v>3399</v>
      </c>
    </row>
    <row r="2287" spans="1:4" ht="13.05" customHeight="1" x14ac:dyDescent="0.3">
      <c r="A2287" s="2" t="s">
        <v>432</v>
      </c>
      <c r="B2287" s="2" t="s">
        <v>1054</v>
      </c>
      <c r="C2287" s="5" t="s">
        <v>3400</v>
      </c>
      <c r="D2287" s="2" t="s">
        <v>3401</v>
      </c>
    </row>
    <row r="2288" spans="1:4" ht="13.05" customHeight="1" x14ac:dyDescent="0.3">
      <c r="A2288" s="2" t="s">
        <v>432</v>
      </c>
      <c r="B2288" s="2" t="s">
        <v>1054</v>
      </c>
      <c r="C2288" s="5" t="s">
        <v>3402</v>
      </c>
      <c r="D2288" s="2" t="s">
        <v>3403</v>
      </c>
    </row>
    <row r="2289" spans="1:4" ht="13.05" customHeight="1" x14ac:dyDescent="0.3">
      <c r="A2289" s="2" t="s">
        <v>432</v>
      </c>
      <c r="B2289" s="2" t="s">
        <v>1054</v>
      </c>
      <c r="C2289" s="5" t="s">
        <v>3404</v>
      </c>
      <c r="D2289" s="2" t="s">
        <v>3405</v>
      </c>
    </row>
    <row r="2290" spans="1:4" ht="13.05" customHeight="1" x14ac:dyDescent="0.3">
      <c r="A2290" s="2" t="s">
        <v>432</v>
      </c>
      <c r="B2290" s="2" t="s">
        <v>1054</v>
      </c>
      <c r="C2290" s="5" t="s">
        <v>3406</v>
      </c>
      <c r="D2290" s="2" t="s">
        <v>3407</v>
      </c>
    </row>
    <row r="2291" spans="1:4" ht="13.05" customHeight="1" x14ac:dyDescent="0.3">
      <c r="A2291" s="2" t="s">
        <v>432</v>
      </c>
      <c r="B2291" s="2" t="s">
        <v>1054</v>
      </c>
      <c r="C2291" s="5" t="s">
        <v>3408</v>
      </c>
      <c r="D2291" s="2" t="s">
        <v>3409</v>
      </c>
    </row>
    <row r="2292" spans="1:4" ht="13.05" customHeight="1" x14ac:dyDescent="0.3">
      <c r="A2292" s="2" t="s">
        <v>432</v>
      </c>
      <c r="B2292" s="2" t="s">
        <v>1054</v>
      </c>
      <c r="C2292" s="5" t="s">
        <v>3410</v>
      </c>
      <c r="D2292" s="2" t="s">
        <v>3411</v>
      </c>
    </row>
    <row r="2293" spans="1:4" ht="13.05" customHeight="1" x14ac:dyDescent="0.3">
      <c r="A2293" s="2" t="s">
        <v>432</v>
      </c>
      <c r="B2293" s="2" t="s">
        <v>1054</v>
      </c>
      <c r="C2293" s="5" t="s">
        <v>3412</v>
      </c>
      <c r="D2293" s="2" t="s">
        <v>3413</v>
      </c>
    </row>
    <row r="2294" spans="1:4" ht="13.05" customHeight="1" x14ac:dyDescent="0.3">
      <c r="A2294" s="2" t="s">
        <v>432</v>
      </c>
      <c r="B2294" s="2" t="s">
        <v>1054</v>
      </c>
      <c r="C2294" s="5" t="s">
        <v>3414</v>
      </c>
      <c r="D2294" s="2" t="s">
        <v>3415</v>
      </c>
    </row>
    <row r="2295" spans="1:4" ht="13.05" customHeight="1" x14ac:dyDescent="0.3">
      <c r="A2295" s="2" t="s">
        <v>432</v>
      </c>
      <c r="B2295" s="2" t="s">
        <v>1054</v>
      </c>
      <c r="C2295" s="5" t="s">
        <v>3416</v>
      </c>
      <c r="D2295" s="2" t="s">
        <v>3417</v>
      </c>
    </row>
    <row r="2296" spans="1:4" ht="13.05" customHeight="1" x14ac:dyDescent="0.3">
      <c r="A2296" s="2" t="s">
        <v>432</v>
      </c>
      <c r="B2296" s="2" t="s">
        <v>1054</v>
      </c>
      <c r="C2296" s="5" t="s">
        <v>3418</v>
      </c>
      <c r="D2296" s="2" t="s">
        <v>3419</v>
      </c>
    </row>
    <row r="2297" spans="1:4" ht="13.05" customHeight="1" x14ac:dyDescent="0.3">
      <c r="A2297" s="2" t="s">
        <v>432</v>
      </c>
      <c r="B2297" s="2" t="s">
        <v>1054</v>
      </c>
      <c r="C2297" s="5" t="s">
        <v>3420</v>
      </c>
      <c r="D2297" s="2" t="s">
        <v>3421</v>
      </c>
    </row>
    <row r="2298" spans="1:4" ht="13.05" customHeight="1" x14ac:dyDescent="0.3">
      <c r="A2298" s="2" t="s">
        <v>432</v>
      </c>
      <c r="B2298" s="2" t="s">
        <v>1054</v>
      </c>
      <c r="C2298" s="5" t="s">
        <v>3422</v>
      </c>
      <c r="D2298" s="2" t="s">
        <v>3423</v>
      </c>
    </row>
    <row r="2299" spans="1:4" ht="13.05" customHeight="1" x14ac:dyDescent="0.3">
      <c r="A2299" s="2" t="s">
        <v>432</v>
      </c>
      <c r="B2299" s="2" t="s">
        <v>1054</v>
      </c>
      <c r="C2299" s="5" t="s">
        <v>3424</v>
      </c>
      <c r="D2299" s="2" t="s">
        <v>3425</v>
      </c>
    </row>
    <row r="2300" spans="1:4" ht="13.05" customHeight="1" x14ac:dyDescent="0.3">
      <c r="A2300" s="2" t="s">
        <v>432</v>
      </c>
      <c r="B2300" s="2" t="s">
        <v>1054</v>
      </c>
      <c r="C2300" s="5" t="s">
        <v>3426</v>
      </c>
      <c r="D2300" s="2" t="s">
        <v>3427</v>
      </c>
    </row>
    <row r="2301" spans="1:4" ht="13.05" customHeight="1" x14ac:dyDescent="0.3">
      <c r="A2301" s="2" t="s">
        <v>432</v>
      </c>
      <c r="B2301" s="2" t="s">
        <v>1054</v>
      </c>
      <c r="C2301" s="5" t="s">
        <v>3428</v>
      </c>
      <c r="D2301" s="2" t="s">
        <v>3429</v>
      </c>
    </row>
    <row r="2302" spans="1:4" ht="13.05" customHeight="1" x14ac:dyDescent="0.3">
      <c r="A2302" s="2" t="s">
        <v>432</v>
      </c>
      <c r="B2302" s="2" t="s">
        <v>1054</v>
      </c>
      <c r="C2302" s="5" t="s">
        <v>3430</v>
      </c>
      <c r="D2302" s="2" t="s">
        <v>3431</v>
      </c>
    </row>
    <row r="2303" spans="1:4" ht="13.05" customHeight="1" x14ac:dyDescent="0.3">
      <c r="A2303" s="2" t="s">
        <v>432</v>
      </c>
      <c r="B2303" s="2" t="s">
        <v>1054</v>
      </c>
      <c r="C2303" s="5" t="s">
        <v>3432</v>
      </c>
      <c r="D2303" s="2" t="s">
        <v>3433</v>
      </c>
    </row>
    <row r="2304" spans="1:4" ht="13.05" customHeight="1" x14ac:dyDescent="0.3">
      <c r="A2304" s="2" t="s">
        <v>432</v>
      </c>
      <c r="B2304" s="2" t="s">
        <v>1054</v>
      </c>
      <c r="C2304" s="5" t="s">
        <v>3434</v>
      </c>
      <c r="D2304" s="2" t="s">
        <v>3435</v>
      </c>
    </row>
    <row r="2305" spans="1:4" ht="13.05" customHeight="1" x14ac:dyDescent="0.3">
      <c r="A2305" s="2" t="s">
        <v>432</v>
      </c>
      <c r="B2305" s="2" t="s">
        <v>1054</v>
      </c>
      <c r="C2305" s="5" t="s">
        <v>3436</v>
      </c>
      <c r="D2305" s="2" t="s">
        <v>3437</v>
      </c>
    </row>
    <row r="2306" spans="1:4" ht="13.05" customHeight="1" x14ac:dyDescent="0.3">
      <c r="A2306" s="2" t="s">
        <v>432</v>
      </c>
      <c r="B2306" s="2" t="s">
        <v>1054</v>
      </c>
      <c r="C2306" s="5" t="s">
        <v>3438</v>
      </c>
      <c r="D2306" s="2" t="s">
        <v>3439</v>
      </c>
    </row>
    <row r="2307" spans="1:4" ht="13.05" customHeight="1" x14ac:dyDescent="0.3">
      <c r="A2307" s="2" t="s">
        <v>432</v>
      </c>
      <c r="B2307" s="2" t="s">
        <v>1054</v>
      </c>
      <c r="C2307" s="5" t="s">
        <v>3440</v>
      </c>
      <c r="D2307" s="2" t="s">
        <v>3441</v>
      </c>
    </row>
    <row r="2308" spans="1:4" ht="13.05" customHeight="1" x14ac:dyDescent="0.3">
      <c r="A2308" s="2" t="s">
        <v>432</v>
      </c>
      <c r="B2308" s="2" t="s">
        <v>1054</v>
      </c>
      <c r="C2308" s="5" t="s">
        <v>3442</v>
      </c>
      <c r="D2308" s="2" t="s">
        <v>3443</v>
      </c>
    </row>
    <row r="2309" spans="1:4" ht="13.05" customHeight="1" x14ac:dyDescent="0.3">
      <c r="A2309" s="2" t="s">
        <v>432</v>
      </c>
      <c r="B2309" s="2" t="s">
        <v>1054</v>
      </c>
      <c r="C2309" s="5" t="s">
        <v>3444</v>
      </c>
      <c r="D2309" s="2" t="s">
        <v>3445</v>
      </c>
    </row>
    <row r="2310" spans="1:4" ht="13.05" customHeight="1" x14ac:dyDescent="0.3">
      <c r="A2310" s="2" t="s">
        <v>432</v>
      </c>
      <c r="B2310" s="2" t="s">
        <v>1054</v>
      </c>
      <c r="C2310" s="5" t="s">
        <v>3446</v>
      </c>
      <c r="D2310" s="2" t="s">
        <v>3447</v>
      </c>
    </row>
    <row r="2311" spans="1:4" ht="13.05" customHeight="1" x14ac:dyDescent="0.3">
      <c r="A2311" s="2" t="s">
        <v>432</v>
      </c>
      <c r="B2311" s="2" t="s">
        <v>1054</v>
      </c>
      <c r="C2311" s="5" t="s">
        <v>3448</v>
      </c>
      <c r="D2311" s="2" t="s">
        <v>3449</v>
      </c>
    </row>
    <row r="2312" spans="1:4" ht="13.05" customHeight="1" x14ac:dyDescent="0.3">
      <c r="A2312" s="2" t="s">
        <v>432</v>
      </c>
      <c r="B2312" s="2" t="s">
        <v>1054</v>
      </c>
      <c r="C2312" s="5" t="s">
        <v>3450</v>
      </c>
      <c r="D2312" s="2" t="s">
        <v>3451</v>
      </c>
    </row>
    <row r="2313" spans="1:4" ht="13.05" customHeight="1" x14ac:dyDescent="0.3">
      <c r="A2313" s="2" t="s">
        <v>432</v>
      </c>
      <c r="B2313" s="2" t="s">
        <v>1054</v>
      </c>
      <c r="C2313" s="5" t="s">
        <v>3452</v>
      </c>
      <c r="D2313" s="2" t="s">
        <v>3453</v>
      </c>
    </row>
    <row r="2314" spans="1:4" ht="13.05" customHeight="1" x14ac:dyDescent="0.3">
      <c r="A2314" s="2" t="s">
        <v>432</v>
      </c>
      <c r="B2314" s="2" t="s">
        <v>1054</v>
      </c>
      <c r="C2314" s="5" t="s">
        <v>3454</v>
      </c>
      <c r="D2314" s="2" t="s">
        <v>3367</v>
      </c>
    </row>
    <row r="2315" spans="1:4" ht="13.05" customHeight="1" x14ac:dyDescent="0.3">
      <c r="A2315" s="2" t="s">
        <v>432</v>
      </c>
      <c r="B2315" s="2" t="s">
        <v>1054</v>
      </c>
      <c r="C2315" s="5" t="s">
        <v>3455</v>
      </c>
      <c r="D2315" s="2" t="s">
        <v>3456</v>
      </c>
    </row>
    <row r="2316" spans="1:4" ht="13.05" customHeight="1" x14ac:dyDescent="0.3">
      <c r="A2316" s="2" t="s">
        <v>432</v>
      </c>
      <c r="B2316" s="2" t="s">
        <v>1054</v>
      </c>
      <c r="C2316" s="5" t="s">
        <v>3457</v>
      </c>
      <c r="D2316" s="2" t="s">
        <v>3458</v>
      </c>
    </row>
    <row r="2317" spans="1:4" ht="13.05" customHeight="1" x14ac:dyDescent="0.3">
      <c r="A2317" s="2" t="s">
        <v>432</v>
      </c>
      <c r="B2317" s="2" t="s">
        <v>1054</v>
      </c>
      <c r="C2317" s="5" t="s">
        <v>3459</v>
      </c>
      <c r="D2317" s="2" t="s">
        <v>3460</v>
      </c>
    </row>
    <row r="2318" spans="1:4" ht="13.05" customHeight="1" x14ac:dyDescent="0.3">
      <c r="A2318" s="2" t="s">
        <v>432</v>
      </c>
      <c r="B2318" s="2" t="s">
        <v>1054</v>
      </c>
      <c r="C2318" s="5" t="s">
        <v>3461</v>
      </c>
      <c r="D2318" s="2" t="s">
        <v>3462</v>
      </c>
    </row>
    <row r="2319" spans="1:4" ht="13.05" customHeight="1" x14ac:dyDescent="0.3">
      <c r="A2319" s="2" t="s">
        <v>432</v>
      </c>
      <c r="B2319" s="2" t="s">
        <v>1054</v>
      </c>
      <c r="C2319" s="5" t="s">
        <v>3463</v>
      </c>
      <c r="D2319" s="2" t="s">
        <v>3464</v>
      </c>
    </row>
    <row r="2320" spans="1:4" ht="13.05" customHeight="1" x14ac:dyDescent="0.3">
      <c r="A2320" s="2" t="s">
        <v>432</v>
      </c>
      <c r="B2320" s="2" t="s">
        <v>1054</v>
      </c>
      <c r="C2320" s="5" t="s">
        <v>3465</v>
      </c>
      <c r="D2320" s="2" t="s">
        <v>3466</v>
      </c>
    </row>
    <row r="2321" spans="1:4" ht="13.05" customHeight="1" x14ac:dyDescent="0.3">
      <c r="A2321" s="2" t="s">
        <v>432</v>
      </c>
      <c r="B2321" s="2" t="s">
        <v>1054</v>
      </c>
      <c r="C2321" s="5" t="s">
        <v>3467</v>
      </c>
      <c r="D2321" s="2" t="s">
        <v>3449</v>
      </c>
    </row>
    <row r="2322" spans="1:4" ht="13.05" customHeight="1" x14ac:dyDescent="0.3">
      <c r="A2322" s="2" t="s">
        <v>432</v>
      </c>
      <c r="B2322" s="2" t="s">
        <v>1054</v>
      </c>
      <c r="C2322" s="5" t="s">
        <v>3468</v>
      </c>
      <c r="D2322" s="2" t="s">
        <v>3469</v>
      </c>
    </row>
    <row r="2323" spans="1:4" ht="13.05" customHeight="1" x14ac:dyDescent="0.3">
      <c r="A2323" s="2" t="s">
        <v>432</v>
      </c>
      <c r="B2323" s="2" t="s">
        <v>1054</v>
      </c>
      <c r="C2323" s="5" t="s">
        <v>3470</v>
      </c>
      <c r="D2323" s="2" t="s">
        <v>3471</v>
      </c>
    </row>
    <row r="2324" spans="1:4" ht="13.05" customHeight="1" x14ac:dyDescent="0.3">
      <c r="A2324" s="2" t="s">
        <v>432</v>
      </c>
      <c r="B2324" s="2" t="s">
        <v>1054</v>
      </c>
      <c r="C2324" s="5" t="s">
        <v>3472</v>
      </c>
      <c r="D2324" s="2" t="s">
        <v>3473</v>
      </c>
    </row>
    <row r="2325" spans="1:4" ht="13.05" customHeight="1" x14ac:dyDescent="0.3">
      <c r="A2325" s="2" t="s">
        <v>432</v>
      </c>
      <c r="B2325" s="2" t="s">
        <v>1054</v>
      </c>
      <c r="C2325" s="5" t="s">
        <v>3474</v>
      </c>
      <c r="D2325" s="2" t="s">
        <v>3475</v>
      </c>
    </row>
    <row r="2326" spans="1:4" ht="13.05" customHeight="1" x14ac:dyDescent="0.3">
      <c r="A2326" s="2" t="s">
        <v>432</v>
      </c>
      <c r="B2326" s="2" t="s">
        <v>1054</v>
      </c>
      <c r="C2326" s="5" t="s">
        <v>3476</v>
      </c>
      <c r="D2326" s="2" t="s">
        <v>3477</v>
      </c>
    </row>
    <row r="2327" spans="1:4" ht="13.05" customHeight="1" x14ac:dyDescent="0.3">
      <c r="A2327" s="2" t="s">
        <v>432</v>
      </c>
      <c r="B2327" s="2" t="s">
        <v>1054</v>
      </c>
      <c r="C2327" s="5" t="s">
        <v>3478</v>
      </c>
      <c r="D2327" s="2" t="s">
        <v>3479</v>
      </c>
    </row>
    <row r="2328" spans="1:4" ht="13.05" customHeight="1" x14ac:dyDescent="0.3">
      <c r="A2328" s="2" t="s">
        <v>432</v>
      </c>
      <c r="B2328" s="2" t="s">
        <v>1054</v>
      </c>
      <c r="C2328" s="5" t="s">
        <v>3480</v>
      </c>
      <c r="D2328" s="2" t="s">
        <v>3481</v>
      </c>
    </row>
    <row r="2329" spans="1:4" ht="13.05" customHeight="1" x14ac:dyDescent="0.3">
      <c r="A2329" s="2" t="s">
        <v>432</v>
      </c>
      <c r="B2329" s="2" t="s">
        <v>1054</v>
      </c>
      <c r="C2329" s="5" t="s">
        <v>3482</v>
      </c>
      <c r="D2329" s="2" t="s">
        <v>3483</v>
      </c>
    </row>
    <row r="2330" spans="1:4" ht="13.05" customHeight="1" x14ac:dyDescent="0.3">
      <c r="A2330" s="2" t="s">
        <v>432</v>
      </c>
      <c r="B2330" s="2" t="s">
        <v>1054</v>
      </c>
      <c r="C2330" s="5" t="s">
        <v>3484</v>
      </c>
      <c r="D2330" s="2" t="s">
        <v>3485</v>
      </c>
    </row>
    <row r="2331" spans="1:4" ht="13.05" customHeight="1" x14ac:dyDescent="0.3">
      <c r="A2331" s="2" t="s">
        <v>432</v>
      </c>
      <c r="B2331" s="2" t="s">
        <v>1054</v>
      </c>
      <c r="C2331" s="5" t="s">
        <v>3486</v>
      </c>
      <c r="D2331" s="2" t="s">
        <v>3487</v>
      </c>
    </row>
    <row r="2332" spans="1:4" ht="13.05" customHeight="1" x14ac:dyDescent="0.3">
      <c r="A2332" s="2" t="s">
        <v>432</v>
      </c>
      <c r="B2332" s="2" t="s">
        <v>1054</v>
      </c>
      <c r="C2332" s="5" t="s">
        <v>3488</v>
      </c>
      <c r="D2332" s="2" t="s">
        <v>3489</v>
      </c>
    </row>
    <row r="2333" spans="1:4" ht="13.05" customHeight="1" x14ac:dyDescent="0.3">
      <c r="A2333" s="2" t="s">
        <v>432</v>
      </c>
      <c r="B2333" s="2" t="s">
        <v>1054</v>
      </c>
      <c r="C2333" s="5" t="s">
        <v>3490</v>
      </c>
      <c r="D2333" s="2" t="s">
        <v>3491</v>
      </c>
    </row>
    <row r="2334" spans="1:4" ht="13.05" customHeight="1" x14ac:dyDescent="0.3">
      <c r="A2334" s="2" t="s">
        <v>432</v>
      </c>
      <c r="B2334" s="2" t="s">
        <v>1054</v>
      </c>
      <c r="C2334" s="5" t="s">
        <v>3492</v>
      </c>
      <c r="D2334" s="2" t="s">
        <v>3493</v>
      </c>
    </row>
    <row r="2335" spans="1:4" ht="13.05" customHeight="1" x14ac:dyDescent="0.3">
      <c r="A2335" s="2" t="s">
        <v>432</v>
      </c>
      <c r="B2335" s="2" t="s">
        <v>1054</v>
      </c>
      <c r="C2335" s="5" t="s">
        <v>3494</v>
      </c>
      <c r="D2335" s="2" t="s">
        <v>3495</v>
      </c>
    </row>
    <row r="2336" spans="1:4" ht="13.05" customHeight="1" x14ac:dyDescent="0.3">
      <c r="A2336" s="2" t="s">
        <v>432</v>
      </c>
      <c r="B2336" s="2" t="s">
        <v>1054</v>
      </c>
      <c r="C2336" s="5" t="s">
        <v>3496</v>
      </c>
      <c r="D2336" s="2" t="s">
        <v>3497</v>
      </c>
    </row>
    <row r="2337" spans="1:4" ht="13.05" customHeight="1" x14ac:dyDescent="0.3">
      <c r="A2337" s="2" t="s">
        <v>432</v>
      </c>
      <c r="B2337" s="2" t="s">
        <v>1054</v>
      </c>
      <c r="C2337" s="5" t="s">
        <v>3498</v>
      </c>
      <c r="D2337" s="2" t="s">
        <v>3499</v>
      </c>
    </row>
    <row r="2338" spans="1:4" ht="13.05" customHeight="1" x14ac:dyDescent="0.3">
      <c r="A2338" s="2" t="s">
        <v>432</v>
      </c>
      <c r="B2338" s="2" t="s">
        <v>1054</v>
      </c>
      <c r="C2338" s="5" t="s">
        <v>3500</v>
      </c>
      <c r="D2338" s="2" t="s">
        <v>3501</v>
      </c>
    </row>
    <row r="2339" spans="1:4" ht="13.05" customHeight="1" x14ac:dyDescent="0.3">
      <c r="A2339" s="2" t="s">
        <v>432</v>
      </c>
      <c r="B2339" s="2" t="s">
        <v>1054</v>
      </c>
      <c r="C2339" s="5" t="s">
        <v>3502</v>
      </c>
      <c r="D2339" s="2" t="s">
        <v>3503</v>
      </c>
    </row>
    <row r="2340" spans="1:4" ht="13.05" customHeight="1" x14ac:dyDescent="0.3">
      <c r="A2340" s="2" t="s">
        <v>432</v>
      </c>
      <c r="B2340" s="2" t="s">
        <v>1054</v>
      </c>
      <c r="C2340" s="5" t="s">
        <v>3504</v>
      </c>
      <c r="D2340" s="2" t="s">
        <v>3505</v>
      </c>
    </row>
    <row r="2341" spans="1:4" ht="13.05" customHeight="1" x14ac:dyDescent="0.3">
      <c r="A2341" s="2" t="s">
        <v>432</v>
      </c>
      <c r="B2341" s="2" t="s">
        <v>1054</v>
      </c>
      <c r="C2341" s="5" t="s">
        <v>3506</v>
      </c>
      <c r="D2341" s="2" t="s">
        <v>3507</v>
      </c>
    </row>
    <row r="2342" spans="1:4" ht="13.05" customHeight="1" x14ac:dyDescent="0.3">
      <c r="A2342" s="2" t="s">
        <v>432</v>
      </c>
      <c r="B2342" s="2" t="s">
        <v>1054</v>
      </c>
      <c r="C2342" s="5" t="s">
        <v>3508</v>
      </c>
      <c r="D2342" s="2" t="s">
        <v>3509</v>
      </c>
    </row>
    <row r="2343" spans="1:4" ht="13.05" customHeight="1" x14ac:dyDescent="0.3">
      <c r="A2343" s="2" t="s">
        <v>432</v>
      </c>
      <c r="B2343" s="2" t="s">
        <v>1054</v>
      </c>
      <c r="C2343" s="5" t="s">
        <v>3510</v>
      </c>
      <c r="D2343" s="2" t="s">
        <v>3511</v>
      </c>
    </row>
    <row r="2344" spans="1:4" ht="13.05" customHeight="1" x14ac:dyDescent="0.3">
      <c r="A2344" s="2" t="s">
        <v>432</v>
      </c>
      <c r="B2344" s="2" t="s">
        <v>1054</v>
      </c>
      <c r="C2344" s="5" t="s">
        <v>3512</v>
      </c>
      <c r="D2344" s="2" t="s">
        <v>3513</v>
      </c>
    </row>
    <row r="2345" spans="1:4" ht="13.05" customHeight="1" x14ac:dyDescent="0.3">
      <c r="A2345" s="2" t="s">
        <v>432</v>
      </c>
      <c r="B2345" s="2" t="s">
        <v>1054</v>
      </c>
      <c r="C2345" s="5" t="s">
        <v>3514</v>
      </c>
      <c r="D2345" s="2" t="s">
        <v>3423</v>
      </c>
    </row>
    <row r="2346" spans="1:4" ht="13.05" customHeight="1" x14ac:dyDescent="0.3">
      <c r="A2346" s="2" t="s">
        <v>432</v>
      </c>
      <c r="B2346" s="2" t="s">
        <v>1054</v>
      </c>
      <c r="C2346" s="5" t="s">
        <v>3515</v>
      </c>
      <c r="D2346" s="2" t="s">
        <v>3516</v>
      </c>
    </row>
    <row r="2347" spans="1:4" ht="13.05" customHeight="1" x14ac:dyDescent="0.3">
      <c r="A2347" s="2" t="s">
        <v>432</v>
      </c>
      <c r="B2347" s="2" t="s">
        <v>1054</v>
      </c>
      <c r="C2347" s="5" t="s">
        <v>3517</v>
      </c>
      <c r="D2347" s="2" t="s">
        <v>3518</v>
      </c>
    </row>
    <row r="2348" spans="1:4" ht="13.05" customHeight="1" x14ac:dyDescent="0.3">
      <c r="A2348" s="2" t="s">
        <v>432</v>
      </c>
      <c r="B2348" s="2" t="s">
        <v>1054</v>
      </c>
      <c r="C2348" s="5" t="s">
        <v>3519</v>
      </c>
      <c r="D2348" s="2" t="s">
        <v>3520</v>
      </c>
    </row>
    <row r="2349" spans="1:4" ht="13.05" customHeight="1" x14ac:dyDescent="0.3">
      <c r="A2349" s="2" t="s">
        <v>432</v>
      </c>
      <c r="B2349" s="2" t="s">
        <v>1054</v>
      </c>
      <c r="C2349" s="5" t="s">
        <v>3521</v>
      </c>
      <c r="D2349" s="2" t="s">
        <v>3522</v>
      </c>
    </row>
    <row r="2350" spans="1:4" ht="13.05" customHeight="1" x14ac:dyDescent="0.3">
      <c r="A2350" s="2" t="s">
        <v>432</v>
      </c>
      <c r="B2350" s="2" t="s">
        <v>1054</v>
      </c>
      <c r="C2350" s="5" t="s">
        <v>3523</v>
      </c>
      <c r="D2350" s="2" t="s">
        <v>3524</v>
      </c>
    </row>
    <row r="2351" spans="1:4" ht="13.05" customHeight="1" x14ac:dyDescent="0.3">
      <c r="A2351" s="2" t="s">
        <v>432</v>
      </c>
      <c r="B2351" s="2" t="s">
        <v>1054</v>
      </c>
      <c r="C2351" s="5" t="s">
        <v>3525</v>
      </c>
      <c r="D2351" s="2" t="s">
        <v>3445</v>
      </c>
    </row>
    <row r="2352" spans="1:4" ht="13.05" customHeight="1" x14ac:dyDescent="0.3">
      <c r="A2352" s="2" t="s">
        <v>432</v>
      </c>
      <c r="B2352" s="2" t="s">
        <v>1054</v>
      </c>
      <c r="C2352" s="5" t="s">
        <v>3526</v>
      </c>
      <c r="D2352" s="2" t="s">
        <v>3447</v>
      </c>
    </row>
    <row r="2353" spans="1:4" ht="13.05" customHeight="1" x14ac:dyDescent="0.3">
      <c r="A2353" s="2" t="s">
        <v>432</v>
      </c>
      <c r="B2353" s="2" t="s">
        <v>1054</v>
      </c>
      <c r="C2353" s="5" t="s">
        <v>3527</v>
      </c>
      <c r="D2353" s="2" t="s">
        <v>3528</v>
      </c>
    </row>
    <row r="2354" spans="1:4" ht="13.05" customHeight="1" x14ac:dyDescent="0.3">
      <c r="A2354" s="2" t="s">
        <v>432</v>
      </c>
      <c r="B2354" s="2" t="s">
        <v>1054</v>
      </c>
      <c r="C2354" s="5" t="s">
        <v>3529</v>
      </c>
      <c r="D2354" s="2" t="s">
        <v>3530</v>
      </c>
    </row>
    <row r="2355" spans="1:4" ht="13.05" customHeight="1" x14ac:dyDescent="0.3">
      <c r="A2355" s="2" t="s">
        <v>432</v>
      </c>
      <c r="B2355" s="2" t="s">
        <v>1054</v>
      </c>
      <c r="C2355" s="5" t="s">
        <v>3531</v>
      </c>
      <c r="D2355" s="2" t="s">
        <v>3532</v>
      </c>
    </row>
    <row r="2356" spans="1:4" ht="13.05" customHeight="1" x14ac:dyDescent="0.3">
      <c r="A2356" s="2" t="s">
        <v>432</v>
      </c>
      <c r="B2356" s="2" t="s">
        <v>1054</v>
      </c>
      <c r="C2356" s="5" t="s">
        <v>3533</v>
      </c>
      <c r="D2356" s="2" t="s">
        <v>3534</v>
      </c>
    </row>
    <row r="2357" spans="1:4" ht="13.05" customHeight="1" x14ac:dyDescent="0.3">
      <c r="A2357" s="2" t="s">
        <v>432</v>
      </c>
      <c r="B2357" s="2" t="s">
        <v>1054</v>
      </c>
      <c r="C2357" s="5" t="s">
        <v>3535</v>
      </c>
      <c r="D2357" s="2" t="s">
        <v>3536</v>
      </c>
    </row>
    <row r="2358" spans="1:4" ht="13.05" customHeight="1" x14ac:dyDescent="0.3">
      <c r="A2358" s="2" t="s">
        <v>432</v>
      </c>
      <c r="B2358" s="2" t="s">
        <v>1054</v>
      </c>
      <c r="C2358" s="5" t="s">
        <v>3537</v>
      </c>
      <c r="D2358" s="2" t="s">
        <v>3538</v>
      </c>
    </row>
    <row r="2359" spans="1:4" ht="13.05" customHeight="1" x14ac:dyDescent="0.3">
      <c r="A2359" s="2" t="s">
        <v>432</v>
      </c>
      <c r="B2359" s="2" t="s">
        <v>1054</v>
      </c>
      <c r="C2359" s="5" t="s">
        <v>3539</v>
      </c>
      <c r="D2359" s="2" t="s">
        <v>3540</v>
      </c>
    </row>
    <row r="2360" spans="1:4" ht="13.05" customHeight="1" x14ac:dyDescent="0.3">
      <c r="A2360" s="2" t="s">
        <v>432</v>
      </c>
      <c r="B2360" s="2" t="s">
        <v>1054</v>
      </c>
      <c r="C2360" s="5" t="s">
        <v>3541</v>
      </c>
      <c r="D2360" s="2" t="s">
        <v>3542</v>
      </c>
    </row>
    <row r="2361" spans="1:4" ht="13.05" customHeight="1" x14ac:dyDescent="0.3">
      <c r="A2361" s="2" t="s">
        <v>432</v>
      </c>
      <c r="B2361" s="2" t="s">
        <v>1054</v>
      </c>
      <c r="C2361" s="5" t="s">
        <v>3543</v>
      </c>
      <c r="D2361" s="2" t="s">
        <v>3544</v>
      </c>
    </row>
    <row r="2362" spans="1:4" ht="13.05" customHeight="1" x14ac:dyDescent="0.3">
      <c r="A2362" s="2" t="s">
        <v>432</v>
      </c>
      <c r="B2362" s="2" t="s">
        <v>1054</v>
      </c>
      <c r="C2362" s="5" t="s">
        <v>3545</v>
      </c>
      <c r="D2362" s="2" t="s">
        <v>3546</v>
      </c>
    </row>
    <row r="2363" spans="1:4" ht="13.05" customHeight="1" x14ac:dyDescent="0.3">
      <c r="A2363" s="2" t="s">
        <v>432</v>
      </c>
      <c r="B2363" s="2" t="s">
        <v>1054</v>
      </c>
      <c r="C2363" s="5" t="s">
        <v>3547</v>
      </c>
      <c r="D2363" s="2" t="s">
        <v>3548</v>
      </c>
    </row>
    <row r="2364" spans="1:4" ht="13.05" customHeight="1" x14ac:dyDescent="0.3">
      <c r="A2364" s="2" t="s">
        <v>432</v>
      </c>
      <c r="B2364" s="2" t="s">
        <v>1054</v>
      </c>
      <c r="C2364" s="5" t="s">
        <v>3549</v>
      </c>
      <c r="D2364" s="2" t="s">
        <v>3550</v>
      </c>
    </row>
    <row r="2365" spans="1:4" ht="13.05" customHeight="1" x14ac:dyDescent="0.3">
      <c r="A2365" s="2" t="s">
        <v>432</v>
      </c>
      <c r="B2365" s="2" t="s">
        <v>1054</v>
      </c>
      <c r="C2365" s="5" t="s">
        <v>3551</v>
      </c>
      <c r="D2365" s="2" t="s">
        <v>3552</v>
      </c>
    </row>
    <row r="2366" spans="1:4" ht="13.05" customHeight="1" x14ac:dyDescent="0.3">
      <c r="A2366" s="2" t="s">
        <v>432</v>
      </c>
      <c r="B2366" s="2" t="s">
        <v>1054</v>
      </c>
      <c r="C2366" s="5" t="s">
        <v>3553</v>
      </c>
      <c r="D2366" s="2" t="s">
        <v>3554</v>
      </c>
    </row>
    <row r="2367" spans="1:4" ht="13.05" customHeight="1" x14ac:dyDescent="0.3">
      <c r="A2367" s="2" t="s">
        <v>432</v>
      </c>
      <c r="B2367" s="2" t="s">
        <v>1054</v>
      </c>
      <c r="C2367" s="5" t="s">
        <v>3555</v>
      </c>
      <c r="D2367" s="2" t="s">
        <v>3556</v>
      </c>
    </row>
    <row r="2368" spans="1:4" ht="13.05" customHeight="1" x14ac:dyDescent="0.3">
      <c r="A2368" s="2" t="s">
        <v>432</v>
      </c>
      <c r="B2368" s="2" t="s">
        <v>1054</v>
      </c>
      <c r="C2368" s="5" t="s">
        <v>3557</v>
      </c>
      <c r="D2368" s="2" t="s">
        <v>3558</v>
      </c>
    </row>
    <row r="2369" spans="1:4" ht="13.05" customHeight="1" x14ac:dyDescent="0.3">
      <c r="A2369" s="2" t="s">
        <v>432</v>
      </c>
      <c r="B2369" s="2" t="s">
        <v>1054</v>
      </c>
      <c r="C2369" s="5" t="s">
        <v>3559</v>
      </c>
      <c r="D2369" s="2" t="s">
        <v>3560</v>
      </c>
    </row>
    <row r="2370" spans="1:4" ht="13.05" customHeight="1" x14ac:dyDescent="0.3">
      <c r="A2370" s="2" t="s">
        <v>432</v>
      </c>
      <c r="B2370" s="2" t="s">
        <v>1054</v>
      </c>
      <c r="C2370" s="5" t="s">
        <v>3561</v>
      </c>
      <c r="D2370" s="2" t="s">
        <v>3387</v>
      </c>
    </row>
    <row r="2371" spans="1:4" ht="13.05" customHeight="1" x14ac:dyDescent="0.3">
      <c r="A2371" s="2" t="s">
        <v>432</v>
      </c>
      <c r="B2371" s="2" t="s">
        <v>1054</v>
      </c>
      <c r="C2371" s="5" t="s">
        <v>3562</v>
      </c>
      <c r="D2371" s="2" t="s">
        <v>3389</v>
      </c>
    </row>
    <row r="2372" spans="1:4" ht="13.05" customHeight="1" x14ac:dyDescent="0.3">
      <c r="A2372" s="2" t="s">
        <v>432</v>
      </c>
      <c r="B2372" s="2" t="s">
        <v>1054</v>
      </c>
      <c r="C2372" s="5" t="s">
        <v>3563</v>
      </c>
      <c r="D2372" s="2" t="s">
        <v>3564</v>
      </c>
    </row>
    <row r="2373" spans="1:4" ht="13.05" customHeight="1" x14ac:dyDescent="0.3">
      <c r="A2373" s="2" t="s">
        <v>432</v>
      </c>
      <c r="B2373" s="2" t="s">
        <v>1054</v>
      </c>
      <c r="C2373" s="5" t="s">
        <v>3565</v>
      </c>
      <c r="D2373" s="2" t="s">
        <v>3566</v>
      </c>
    </row>
    <row r="2374" spans="1:4" ht="13.05" customHeight="1" x14ac:dyDescent="0.3">
      <c r="A2374" s="2" t="s">
        <v>432</v>
      </c>
      <c r="B2374" s="2" t="s">
        <v>1054</v>
      </c>
      <c r="C2374" s="5" t="s">
        <v>3567</v>
      </c>
      <c r="D2374" s="2" t="s">
        <v>3568</v>
      </c>
    </row>
    <row r="2375" spans="1:4" ht="13.05" customHeight="1" x14ac:dyDescent="0.3">
      <c r="A2375" s="2" t="s">
        <v>432</v>
      </c>
      <c r="B2375" s="2" t="s">
        <v>1054</v>
      </c>
      <c r="C2375" s="5" t="s">
        <v>3569</v>
      </c>
      <c r="D2375" s="2" t="s">
        <v>3570</v>
      </c>
    </row>
    <row r="2376" spans="1:4" ht="13.05" customHeight="1" x14ac:dyDescent="0.3">
      <c r="A2376" s="2" t="s">
        <v>432</v>
      </c>
      <c r="B2376" s="2" t="s">
        <v>1054</v>
      </c>
      <c r="C2376" s="5" t="s">
        <v>3571</v>
      </c>
      <c r="D2376" s="2" t="s">
        <v>3572</v>
      </c>
    </row>
    <row r="2377" spans="1:4" ht="13.05" customHeight="1" x14ac:dyDescent="0.3">
      <c r="A2377" s="2" t="s">
        <v>432</v>
      </c>
      <c r="B2377" s="2" t="s">
        <v>1054</v>
      </c>
      <c r="C2377" s="5" t="s">
        <v>3573</v>
      </c>
      <c r="D2377" s="2" t="s">
        <v>3574</v>
      </c>
    </row>
    <row r="2378" spans="1:4" ht="13.05" customHeight="1" x14ac:dyDescent="0.3">
      <c r="A2378" s="2" t="s">
        <v>432</v>
      </c>
      <c r="B2378" s="2" t="s">
        <v>1054</v>
      </c>
      <c r="C2378" s="5" t="s">
        <v>3575</v>
      </c>
      <c r="D2378" s="2" t="s">
        <v>3576</v>
      </c>
    </row>
    <row r="2379" spans="1:4" ht="13.05" customHeight="1" x14ac:dyDescent="0.3">
      <c r="A2379" s="2" t="s">
        <v>432</v>
      </c>
      <c r="B2379" s="2" t="s">
        <v>1054</v>
      </c>
      <c r="C2379" s="5" t="s">
        <v>3577</v>
      </c>
      <c r="D2379" s="2" t="s">
        <v>3578</v>
      </c>
    </row>
    <row r="2380" spans="1:4" ht="13.05" customHeight="1" x14ac:dyDescent="0.3">
      <c r="A2380" s="2" t="s">
        <v>432</v>
      </c>
      <c r="B2380" s="2" t="s">
        <v>1054</v>
      </c>
      <c r="C2380" s="5" t="s">
        <v>3579</v>
      </c>
      <c r="D2380" s="2" t="s">
        <v>3393</v>
      </c>
    </row>
    <row r="2381" spans="1:4" ht="13.05" customHeight="1" x14ac:dyDescent="0.3">
      <c r="A2381" s="2" t="s">
        <v>432</v>
      </c>
      <c r="B2381" s="2" t="s">
        <v>1054</v>
      </c>
      <c r="C2381" s="5" t="s">
        <v>3580</v>
      </c>
      <c r="D2381" s="2" t="s">
        <v>3581</v>
      </c>
    </row>
    <row r="2382" spans="1:4" ht="13.05" customHeight="1" x14ac:dyDescent="0.3">
      <c r="A2382" s="2" t="s">
        <v>432</v>
      </c>
      <c r="B2382" s="2" t="s">
        <v>1054</v>
      </c>
      <c r="C2382" s="5" t="s">
        <v>3582</v>
      </c>
      <c r="D2382" s="2" t="s">
        <v>3397</v>
      </c>
    </row>
    <row r="2383" spans="1:4" ht="13.05" customHeight="1" x14ac:dyDescent="0.3">
      <c r="A2383" s="2" t="s">
        <v>432</v>
      </c>
      <c r="B2383" s="2" t="s">
        <v>1054</v>
      </c>
      <c r="C2383" s="5" t="s">
        <v>3583</v>
      </c>
      <c r="D2383" s="2" t="s">
        <v>3584</v>
      </c>
    </row>
    <row r="2384" spans="1:4" ht="13.05" customHeight="1" x14ac:dyDescent="0.3">
      <c r="A2384" s="2" t="s">
        <v>432</v>
      </c>
      <c r="B2384" s="2" t="s">
        <v>1054</v>
      </c>
      <c r="C2384" s="5" t="s">
        <v>3585</v>
      </c>
      <c r="D2384" s="2" t="s">
        <v>3586</v>
      </c>
    </row>
    <row r="2385" spans="1:4" ht="13.05" customHeight="1" x14ac:dyDescent="0.3">
      <c r="A2385" s="2" t="s">
        <v>432</v>
      </c>
      <c r="B2385" s="2" t="s">
        <v>1054</v>
      </c>
      <c r="C2385" s="5" t="s">
        <v>3587</v>
      </c>
      <c r="D2385" s="2" t="s">
        <v>3588</v>
      </c>
    </row>
    <row r="2386" spans="1:4" ht="13.05" customHeight="1" x14ac:dyDescent="0.3">
      <c r="A2386" s="2" t="s">
        <v>432</v>
      </c>
      <c r="B2386" s="2" t="s">
        <v>1054</v>
      </c>
      <c r="C2386" s="5" t="s">
        <v>3589</v>
      </c>
      <c r="D2386" s="2" t="s">
        <v>3207</v>
      </c>
    </row>
    <row r="2387" spans="1:4" ht="13.05" customHeight="1" x14ac:dyDescent="0.3">
      <c r="A2387" s="2" t="s">
        <v>432</v>
      </c>
      <c r="B2387" s="2" t="s">
        <v>1054</v>
      </c>
      <c r="C2387" s="5" t="s">
        <v>3590</v>
      </c>
      <c r="D2387" s="2" t="s">
        <v>3333</v>
      </c>
    </row>
    <row r="2388" spans="1:4" ht="13.05" customHeight="1" x14ac:dyDescent="0.3">
      <c r="A2388" s="2" t="s">
        <v>432</v>
      </c>
      <c r="B2388" s="2" t="s">
        <v>1054</v>
      </c>
      <c r="C2388" s="5" t="s">
        <v>3591</v>
      </c>
      <c r="D2388" s="2" t="s">
        <v>3335</v>
      </c>
    </row>
    <row r="2389" spans="1:4" ht="13.05" customHeight="1" x14ac:dyDescent="0.3">
      <c r="A2389" s="2" t="s">
        <v>432</v>
      </c>
      <c r="B2389" s="2" t="s">
        <v>1054</v>
      </c>
      <c r="C2389" s="5" t="s">
        <v>3592</v>
      </c>
      <c r="D2389" s="2" t="s">
        <v>3593</v>
      </c>
    </row>
    <row r="2390" spans="1:4" ht="13.05" customHeight="1" x14ac:dyDescent="0.3">
      <c r="A2390" s="2" t="s">
        <v>432</v>
      </c>
      <c r="B2390" s="2" t="s">
        <v>1054</v>
      </c>
      <c r="C2390" s="5" t="s">
        <v>3594</v>
      </c>
      <c r="D2390" s="2" t="s">
        <v>3595</v>
      </c>
    </row>
    <row r="2391" spans="1:4" ht="13.05" customHeight="1" x14ac:dyDescent="0.3">
      <c r="A2391" s="2" t="s">
        <v>432</v>
      </c>
      <c r="B2391" s="2" t="s">
        <v>1054</v>
      </c>
      <c r="C2391" s="5" t="s">
        <v>3596</v>
      </c>
      <c r="D2391" s="2" t="s">
        <v>3597</v>
      </c>
    </row>
    <row r="2392" spans="1:4" ht="13.05" customHeight="1" x14ac:dyDescent="0.3">
      <c r="A2392" s="2" t="s">
        <v>432</v>
      </c>
      <c r="B2392" s="2" t="s">
        <v>1054</v>
      </c>
      <c r="C2392" s="5" t="s">
        <v>3598</v>
      </c>
      <c r="D2392" s="2" t="s">
        <v>3599</v>
      </c>
    </row>
    <row r="2393" spans="1:4" ht="13.05" customHeight="1" x14ac:dyDescent="0.3">
      <c r="A2393" s="2" t="s">
        <v>432</v>
      </c>
      <c r="B2393" s="2" t="s">
        <v>1054</v>
      </c>
      <c r="C2393" s="5" t="s">
        <v>3600</v>
      </c>
      <c r="D2393" s="2" t="s">
        <v>3601</v>
      </c>
    </row>
    <row r="2394" spans="1:4" ht="13.05" customHeight="1" x14ac:dyDescent="0.3">
      <c r="A2394" s="2" t="s">
        <v>432</v>
      </c>
      <c r="B2394" s="2" t="s">
        <v>1054</v>
      </c>
      <c r="C2394" s="5" t="s">
        <v>3602</v>
      </c>
      <c r="D2394" s="2" t="s">
        <v>3603</v>
      </c>
    </row>
    <row r="2395" spans="1:4" ht="13.05" customHeight="1" x14ac:dyDescent="0.3">
      <c r="A2395" s="2" t="s">
        <v>432</v>
      </c>
      <c r="B2395" s="2" t="s">
        <v>1054</v>
      </c>
      <c r="C2395" s="5" t="s">
        <v>3604</v>
      </c>
      <c r="D2395" s="2" t="s">
        <v>3605</v>
      </c>
    </row>
    <row r="2396" spans="1:4" ht="13.05" customHeight="1" x14ac:dyDescent="0.3">
      <c r="A2396" s="2" t="s">
        <v>432</v>
      </c>
      <c r="B2396" s="2" t="s">
        <v>1054</v>
      </c>
      <c r="C2396" s="5" t="s">
        <v>3606</v>
      </c>
      <c r="D2396" s="2" t="s">
        <v>3607</v>
      </c>
    </row>
    <row r="2397" spans="1:4" ht="13.05" customHeight="1" x14ac:dyDescent="0.3">
      <c r="A2397" s="2" t="s">
        <v>432</v>
      </c>
      <c r="B2397" s="2" t="s">
        <v>1054</v>
      </c>
      <c r="C2397" s="5" t="s">
        <v>3608</v>
      </c>
      <c r="D2397" s="2" t="s">
        <v>3609</v>
      </c>
    </row>
    <row r="2398" spans="1:4" ht="13.05" customHeight="1" x14ac:dyDescent="0.3">
      <c r="A2398" s="2" t="s">
        <v>432</v>
      </c>
      <c r="B2398" s="2" t="s">
        <v>1054</v>
      </c>
      <c r="C2398" s="5" t="s">
        <v>3610</v>
      </c>
      <c r="D2398" s="2" t="s">
        <v>3611</v>
      </c>
    </row>
    <row r="2399" spans="1:4" ht="13.05" customHeight="1" x14ac:dyDescent="0.3">
      <c r="A2399" s="2" t="s">
        <v>432</v>
      </c>
      <c r="B2399" s="2" t="s">
        <v>1054</v>
      </c>
      <c r="C2399" s="5" t="s">
        <v>3612</v>
      </c>
      <c r="D2399" s="2" t="s">
        <v>3613</v>
      </c>
    </row>
    <row r="2400" spans="1:4" ht="13.05" customHeight="1" x14ac:dyDescent="0.3">
      <c r="A2400" s="2" t="s">
        <v>432</v>
      </c>
      <c r="B2400" s="2" t="s">
        <v>1054</v>
      </c>
      <c r="C2400" s="5" t="s">
        <v>3614</v>
      </c>
      <c r="D2400" s="2" t="s">
        <v>3615</v>
      </c>
    </row>
    <row r="2401" spans="1:4" ht="13.05" customHeight="1" x14ac:dyDescent="0.3">
      <c r="A2401" s="2" t="s">
        <v>432</v>
      </c>
      <c r="B2401" s="2" t="s">
        <v>1054</v>
      </c>
      <c r="C2401" s="5" t="s">
        <v>3616</v>
      </c>
      <c r="D2401" s="2" t="s">
        <v>3495</v>
      </c>
    </row>
    <row r="2402" spans="1:4" ht="13.05" customHeight="1" x14ac:dyDescent="0.3">
      <c r="A2402" s="2" t="s">
        <v>432</v>
      </c>
      <c r="B2402" s="2" t="s">
        <v>1054</v>
      </c>
      <c r="C2402" s="5" t="s">
        <v>3617</v>
      </c>
      <c r="D2402" s="2" t="s">
        <v>3618</v>
      </c>
    </row>
    <row r="2403" spans="1:4" ht="13.05" customHeight="1" x14ac:dyDescent="0.3">
      <c r="A2403" s="2" t="s">
        <v>432</v>
      </c>
      <c r="B2403" s="2" t="s">
        <v>1054</v>
      </c>
      <c r="C2403" s="5" t="s">
        <v>3619</v>
      </c>
      <c r="D2403" s="2" t="s">
        <v>3620</v>
      </c>
    </row>
    <row r="2404" spans="1:4" ht="13.05" customHeight="1" x14ac:dyDescent="0.3">
      <c r="A2404" s="2" t="s">
        <v>432</v>
      </c>
      <c r="B2404" s="2" t="s">
        <v>1054</v>
      </c>
      <c r="C2404" s="5" t="s">
        <v>3621</v>
      </c>
      <c r="D2404" s="2" t="s">
        <v>3622</v>
      </c>
    </row>
    <row r="2405" spans="1:4" ht="13.05" customHeight="1" x14ac:dyDescent="0.3">
      <c r="A2405" s="2" t="s">
        <v>432</v>
      </c>
      <c r="B2405" s="2" t="s">
        <v>1054</v>
      </c>
      <c r="C2405" s="5" t="s">
        <v>3623</v>
      </c>
      <c r="D2405" s="2" t="s">
        <v>3624</v>
      </c>
    </row>
    <row r="2406" spans="1:4" ht="13.05" customHeight="1" x14ac:dyDescent="0.3">
      <c r="A2406" s="2" t="s">
        <v>432</v>
      </c>
      <c r="B2406" s="2" t="s">
        <v>1054</v>
      </c>
      <c r="C2406" s="5" t="s">
        <v>3625</v>
      </c>
      <c r="D2406" s="2" t="s">
        <v>3423</v>
      </c>
    </row>
    <row r="2407" spans="1:4" ht="13.05" customHeight="1" x14ac:dyDescent="0.3">
      <c r="A2407" s="2" t="s">
        <v>432</v>
      </c>
      <c r="B2407" s="2" t="s">
        <v>1054</v>
      </c>
      <c r="C2407" s="5" t="s">
        <v>3626</v>
      </c>
      <c r="D2407" s="2" t="s">
        <v>3411</v>
      </c>
    </row>
    <row r="2408" spans="1:4" ht="13.05" customHeight="1" x14ac:dyDescent="0.3">
      <c r="A2408" s="2" t="s">
        <v>432</v>
      </c>
      <c r="B2408" s="2" t="s">
        <v>1054</v>
      </c>
      <c r="C2408" s="5" t="s">
        <v>3627</v>
      </c>
      <c r="D2408" s="2" t="s">
        <v>3628</v>
      </c>
    </row>
    <row r="2409" spans="1:4" ht="13.05" customHeight="1" x14ac:dyDescent="0.3">
      <c r="A2409" s="2" t="s">
        <v>432</v>
      </c>
      <c r="B2409" s="2" t="s">
        <v>1054</v>
      </c>
      <c r="C2409" s="5" t="s">
        <v>3629</v>
      </c>
      <c r="D2409" s="2" t="s">
        <v>3630</v>
      </c>
    </row>
    <row r="2410" spans="1:4" ht="13.05" customHeight="1" x14ac:dyDescent="0.3">
      <c r="A2410" s="2" t="s">
        <v>432</v>
      </c>
      <c r="B2410" s="2" t="s">
        <v>1054</v>
      </c>
      <c r="C2410" s="5" t="s">
        <v>3631</v>
      </c>
      <c r="D2410" s="2" t="s">
        <v>3333</v>
      </c>
    </row>
    <row r="2411" spans="1:4" ht="13.05" customHeight="1" x14ac:dyDescent="0.3">
      <c r="A2411" s="2" t="s">
        <v>432</v>
      </c>
      <c r="B2411" s="2" t="s">
        <v>1054</v>
      </c>
      <c r="C2411" s="5" t="s">
        <v>3632</v>
      </c>
      <c r="D2411" s="2" t="s">
        <v>3447</v>
      </c>
    </row>
    <row r="2412" spans="1:4" ht="13.05" customHeight="1" x14ac:dyDescent="0.3">
      <c r="A2412" s="2" t="s">
        <v>432</v>
      </c>
      <c r="B2412" s="2" t="s">
        <v>1054</v>
      </c>
      <c r="C2412" s="5" t="s">
        <v>3633</v>
      </c>
      <c r="D2412" s="2" t="s">
        <v>3634</v>
      </c>
    </row>
    <row r="2413" spans="1:4" ht="13.05" customHeight="1" x14ac:dyDescent="0.3">
      <c r="A2413" s="2" t="s">
        <v>432</v>
      </c>
      <c r="B2413" s="2" t="s">
        <v>1054</v>
      </c>
      <c r="C2413" s="5" t="s">
        <v>3635</v>
      </c>
      <c r="D2413" s="2" t="s">
        <v>3538</v>
      </c>
    </row>
    <row r="2414" spans="1:4" ht="13.05" customHeight="1" x14ac:dyDescent="0.3">
      <c r="A2414" s="2" t="s">
        <v>432</v>
      </c>
      <c r="B2414" s="2" t="s">
        <v>1054</v>
      </c>
      <c r="C2414" s="5" t="s">
        <v>3636</v>
      </c>
      <c r="D2414" s="2" t="s">
        <v>3637</v>
      </c>
    </row>
    <row r="2415" spans="1:4" ht="13.05" customHeight="1" x14ac:dyDescent="0.3">
      <c r="A2415" s="2" t="s">
        <v>432</v>
      </c>
      <c r="B2415" s="2" t="s">
        <v>1054</v>
      </c>
      <c r="C2415" s="5" t="s">
        <v>3638</v>
      </c>
      <c r="D2415" s="2" t="s">
        <v>3639</v>
      </c>
    </row>
    <row r="2416" spans="1:4" ht="13.05" customHeight="1" x14ac:dyDescent="0.3">
      <c r="A2416" s="2" t="s">
        <v>432</v>
      </c>
      <c r="B2416" s="2" t="s">
        <v>1054</v>
      </c>
      <c r="C2416" s="5" t="s">
        <v>3640</v>
      </c>
      <c r="D2416" s="2" t="s">
        <v>3641</v>
      </c>
    </row>
    <row r="2417" spans="1:4" ht="13.05" customHeight="1" x14ac:dyDescent="0.3">
      <c r="A2417" s="2" t="s">
        <v>432</v>
      </c>
      <c r="B2417" s="2" t="s">
        <v>1054</v>
      </c>
      <c r="C2417" s="5" t="s">
        <v>3642</v>
      </c>
      <c r="D2417" s="2" t="s">
        <v>3365</v>
      </c>
    </row>
    <row r="2418" spans="1:4" ht="13.05" customHeight="1" x14ac:dyDescent="0.3">
      <c r="A2418" s="2" t="s">
        <v>432</v>
      </c>
      <c r="B2418" s="2" t="s">
        <v>1054</v>
      </c>
      <c r="C2418" s="5" t="s">
        <v>3643</v>
      </c>
      <c r="D2418" s="2" t="s">
        <v>3367</v>
      </c>
    </row>
    <row r="2419" spans="1:4" ht="13.05" customHeight="1" x14ac:dyDescent="0.3">
      <c r="A2419" s="2" t="s">
        <v>432</v>
      </c>
      <c r="B2419" s="2" t="s">
        <v>1054</v>
      </c>
      <c r="C2419" s="5" t="s">
        <v>3644</v>
      </c>
      <c r="D2419" s="2" t="s">
        <v>3586</v>
      </c>
    </row>
    <row r="2420" spans="1:4" ht="13.05" customHeight="1" x14ac:dyDescent="0.3">
      <c r="A2420" s="2" t="s">
        <v>432</v>
      </c>
      <c r="B2420" s="2" t="s">
        <v>1054</v>
      </c>
      <c r="C2420" s="5" t="s">
        <v>3645</v>
      </c>
      <c r="D2420" s="2" t="s">
        <v>3646</v>
      </c>
    </row>
    <row r="2421" spans="1:4" ht="13.05" customHeight="1" x14ac:dyDescent="0.3">
      <c r="A2421" s="2" t="s">
        <v>432</v>
      </c>
      <c r="B2421" s="2" t="s">
        <v>1054</v>
      </c>
      <c r="C2421" s="5" t="s">
        <v>3647</v>
      </c>
      <c r="D2421" s="2" t="s">
        <v>3648</v>
      </c>
    </row>
    <row r="2422" spans="1:4" ht="13.05" customHeight="1" x14ac:dyDescent="0.3">
      <c r="A2422" s="2" t="s">
        <v>432</v>
      </c>
      <c r="B2422" s="2" t="s">
        <v>1054</v>
      </c>
      <c r="C2422" s="5" t="s">
        <v>3649</v>
      </c>
      <c r="D2422" s="2" t="s">
        <v>3650</v>
      </c>
    </row>
    <row r="2423" spans="1:4" ht="13.05" customHeight="1" x14ac:dyDescent="0.3">
      <c r="A2423" s="2" t="s">
        <v>432</v>
      </c>
      <c r="B2423" s="2" t="s">
        <v>1054</v>
      </c>
      <c r="C2423" s="5" t="s">
        <v>3651</v>
      </c>
      <c r="D2423" s="2" t="s">
        <v>3652</v>
      </c>
    </row>
    <row r="2424" spans="1:4" ht="13.05" customHeight="1" x14ac:dyDescent="0.3">
      <c r="A2424" s="2" t="s">
        <v>432</v>
      </c>
      <c r="B2424" s="2" t="s">
        <v>1054</v>
      </c>
      <c r="C2424" s="5" t="s">
        <v>3653</v>
      </c>
      <c r="D2424" s="2" t="s">
        <v>3654</v>
      </c>
    </row>
    <row r="2425" spans="1:4" ht="13.05" customHeight="1" x14ac:dyDescent="0.3">
      <c r="A2425" s="2" t="s">
        <v>432</v>
      </c>
      <c r="B2425" s="2" t="s">
        <v>1054</v>
      </c>
      <c r="C2425" s="5" t="s">
        <v>3655</v>
      </c>
      <c r="D2425" s="2" t="s">
        <v>3656</v>
      </c>
    </row>
    <row r="2426" spans="1:4" ht="13.05" customHeight="1" x14ac:dyDescent="0.3">
      <c r="A2426" s="2" t="s">
        <v>432</v>
      </c>
      <c r="B2426" s="2" t="s">
        <v>1054</v>
      </c>
      <c r="C2426" s="5" t="s">
        <v>3657</v>
      </c>
      <c r="D2426" s="2" t="s">
        <v>3658</v>
      </c>
    </row>
    <row r="2427" spans="1:4" ht="13.05" customHeight="1" x14ac:dyDescent="0.3">
      <c r="A2427" s="2" t="s">
        <v>432</v>
      </c>
      <c r="B2427" s="2" t="s">
        <v>1054</v>
      </c>
      <c r="C2427" s="5" t="s">
        <v>3659</v>
      </c>
      <c r="D2427" s="2" t="s">
        <v>3333</v>
      </c>
    </row>
    <row r="2428" spans="1:4" ht="13.05" customHeight="1" x14ac:dyDescent="0.3">
      <c r="A2428" s="2" t="s">
        <v>432</v>
      </c>
      <c r="B2428" s="2" t="s">
        <v>1054</v>
      </c>
      <c r="C2428" s="5" t="s">
        <v>3660</v>
      </c>
      <c r="D2428" s="2" t="s">
        <v>3335</v>
      </c>
    </row>
    <row r="2429" spans="1:4" ht="13.05" customHeight="1" x14ac:dyDescent="0.3">
      <c r="A2429" s="2" t="s">
        <v>432</v>
      </c>
      <c r="B2429" s="2" t="s">
        <v>1054</v>
      </c>
      <c r="C2429" s="5" t="s">
        <v>3661</v>
      </c>
      <c r="D2429" s="2" t="s">
        <v>3662</v>
      </c>
    </row>
    <row r="2430" spans="1:4" ht="13.05" customHeight="1" x14ac:dyDescent="0.3">
      <c r="A2430" s="2" t="s">
        <v>432</v>
      </c>
      <c r="B2430" s="2" t="s">
        <v>1054</v>
      </c>
      <c r="C2430" s="5" t="s">
        <v>3663</v>
      </c>
      <c r="D2430" s="2" t="s">
        <v>3664</v>
      </c>
    </row>
    <row r="2431" spans="1:4" ht="13.05" customHeight="1" x14ac:dyDescent="0.3">
      <c r="A2431" s="2" t="s">
        <v>432</v>
      </c>
      <c r="B2431" s="2" t="s">
        <v>1054</v>
      </c>
      <c r="C2431" s="5" t="s">
        <v>3665</v>
      </c>
      <c r="D2431" s="2" t="s">
        <v>3666</v>
      </c>
    </row>
    <row r="2432" spans="1:4" ht="13.05" customHeight="1" x14ac:dyDescent="0.3">
      <c r="A2432" s="2" t="s">
        <v>432</v>
      </c>
      <c r="B2432" s="2" t="s">
        <v>1054</v>
      </c>
      <c r="C2432" s="5" t="s">
        <v>3667</v>
      </c>
      <c r="D2432" s="2" t="s">
        <v>3668</v>
      </c>
    </row>
    <row r="2433" spans="1:4" ht="13.05" customHeight="1" x14ac:dyDescent="0.3">
      <c r="A2433" s="2" t="s">
        <v>432</v>
      </c>
      <c r="B2433" s="2" t="s">
        <v>1054</v>
      </c>
      <c r="C2433" s="5" t="s">
        <v>3669</v>
      </c>
      <c r="D2433" s="2" t="s">
        <v>3670</v>
      </c>
    </row>
    <row r="2434" spans="1:4" ht="13.05" customHeight="1" x14ac:dyDescent="0.3">
      <c r="A2434" s="2" t="s">
        <v>432</v>
      </c>
      <c r="B2434" s="2" t="s">
        <v>1054</v>
      </c>
      <c r="C2434" s="5" t="s">
        <v>3671</v>
      </c>
      <c r="D2434" s="2" t="s">
        <v>3672</v>
      </c>
    </row>
    <row r="2435" spans="1:4" ht="13.05" customHeight="1" x14ac:dyDescent="0.3">
      <c r="A2435" s="2" t="s">
        <v>432</v>
      </c>
      <c r="B2435" s="2" t="s">
        <v>1054</v>
      </c>
      <c r="C2435" s="5" t="s">
        <v>3673</v>
      </c>
      <c r="D2435" s="2" t="s">
        <v>3674</v>
      </c>
    </row>
    <row r="2436" spans="1:4" ht="13.05" customHeight="1" x14ac:dyDescent="0.3">
      <c r="A2436" s="2" t="s">
        <v>432</v>
      </c>
      <c r="B2436" s="2" t="s">
        <v>1054</v>
      </c>
      <c r="C2436" s="5" t="s">
        <v>3675</v>
      </c>
      <c r="D2436" s="2" t="s">
        <v>3676</v>
      </c>
    </row>
    <row r="2437" spans="1:4" ht="13.05" customHeight="1" x14ac:dyDescent="0.3">
      <c r="A2437" s="2" t="s">
        <v>432</v>
      </c>
      <c r="B2437" s="2" t="s">
        <v>1054</v>
      </c>
      <c r="C2437" s="5" t="s">
        <v>3677</v>
      </c>
      <c r="D2437" s="2" t="s">
        <v>3678</v>
      </c>
    </row>
    <row r="2438" spans="1:4" ht="13.05" customHeight="1" x14ac:dyDescent="0.3">
      <c r="A2438" s="2" t="s">
        <v>432</v>
      </c>
      <c r="B2438" s="2" t="s">
        <v>1054</v>
      </c>
      <c r="C2438" s="5" t="s">
        <v>3679</v>
      </c>
      <c r="D2438" s="2" t="s">
        <v>3680</v>
      </c>
    </row>
    <row r="2439" spans="1:4" ht="13.05" customHeight="1" x14ac:dyDescent="0.3">
      <c r="A2439" s="2" t="s">
        <v>432</v>
      </c>
      <c r="B2439" s="2" t="s">
        <v>1054</v>
      </c>
      <c r="C2439" s="5" t="s">
        <v>3681</v>
      </c>
      <c r="D2439" s="2" t="s">
        <v>3682</v>
      </c>
    </row>
    <row r="2440" spans="1:4" ht="13.05" customHeight="1" x14ac:dyDescent="0.3">
      <c r="A2440" s="2" t="s">
        <v>432</v>
      </c>
      <c r="B2440" s="2" t="s">
        <v>1054</v>
      </c>
      <c r="C2440" s="5" t="s">
        <v>3683</v>
      </c>
      <c r="D2440" s="2" t="s">
        <v>3684</v>
      </c>
    </row>
    <row r="2441" spans="1:4" ht="13.05" customHeight="1" x14ac:dyDescent="0.3">
      <c r="A2441" s="2" t="s">
        <v>432</v>
      </c>
      <c r="B2441" s="2" t="s">
        <v>1054</v>
      </c>
      <c r="C2441" s="5" t="s">
        <v>3685</v>
      </c>
      <c r="D2441" s="2" t="s">
        <v>3686</v>
      </c>
    </row>
    <row r="2442" spans="1:4" ht="13.05" customHeight="1" x14ac:dyDescent="0.3">
      <c r="A2442" s="2" t="s">
        <v>432</v>
      </c>
      <c r="B2442" s="2" t="s">
        <v>1054</v>
      </c>
      <c r="C2442" s="5" t="s">
        <v>3687</v>
      </c>
      <c r="D2442" s="2" t="s">
        <v>3688</v>
      </c>
    </row>
    <row r="2443" spans="1:4" ht="13.05" customHeight="1" x14ac:dyDescent="0.3">
      <c r="A2443" s="2" t="s">
        <v>432</v>
      </c>
      <c r="B2443" s="2" t="s">
        <v>1054</v>
      </c>
      <c r="C2443" s="5" t="s">
        <v>3689</v>
      </c>
      <c r="D2443" s="2" t="s">
        <v>3690</v>
      </c>
    </row>
    <row r="2444" spans="1:4" ht="13.05" customHeight="1" x14ac:dyDescent="0.3">
      <c r="A2444" s="2" t="s">
        <v>432</v>
      </c>
      <c r="B2444" s="2" t="s">
        <v>1054</v>
      </c>
      <c r="C2444" s="5" t="s">
        <v>3691</v>
      </c>
      <c r="D2444" s="2" t="s">
        <v>3692</v>
      </c>
    </row>
    <row r="2445" spans="1:4" ht="13.05" customHeight="1" x14ac:dyDescent="0.3">
      <c r="A2445" s="2" t="s">
        <v>432</v>
      </c>
      <c r="B2445" s="2" t="s">
        <v>1054</v>
      </c>
      <c r="C2445" s="5" t="s">
        <v>3693</v>
      </c>
      <c r="D2445" s="2" t="s">
        <v>3694</v>
      </c>
    </row>
    <row r="2446" spans="1:4" ht="13.05" customHeight="1" x14ac:dyDescent="0.3">
      <c r="A2446" s="2" t="s">
        <v>432</v>
      </c>
      <c r="B2446" s="2" t="s">
        <v>1054</v>
      </c>
      <c r="C2446" s="5" t="s">
        <v>3695</v>
      </c>
      <c r="D2446" s="2" t="s">
        <v>3696</v>
      </c>
    </row>
    <row r="2447" spans="1:4" ht="13.05" customHeight="1" x14ac:dyDescent="0.3">
      <c r="A2447" s="2" t="s">
        <v>432</v>
      </c>
      <c r="B2447" s="2" t="s">
        <v>1054</v>
      </c>
      <c r="C2447" s="5" t="s">
        <v>3697</v>
      </c>
      <c r="D2447" s="2" t="s">
        <v>3698</v>
      </c>
    </row>
    <row r="2448" spans="1:4" ht="13.05" customHeight="1" x14ac:dyDescent="0.3">
      <c r="A2448" s="2" t="s">
        <v>432</v>
      </c>
      <c r="B2448" s="2" t="s">
        <v>1054</v>
      </c>
      <c r="C2448" s="5" t="s">
        <v>3699</v>
      </c>
      <c r="D2448" s="2" t="s">
        <v>3700</v>
      </c>
    </row>
    <row r="2449" spans="1:4" ht="13.05" customHeight="1" x14ac:dyDescent="0.3">
      <c r="A2449" s="2" t="s">
        <v>432</v>
      </c>
      <c r="B2449" s="2" t="s">
        <v>1054</v>
      </c>
      <c r="C2449" s="5" t="s">
        <v>3701</v>
      </c>
      <c r="D2449" s="2" t="s">
        <v>3702</v>
      </c>
    </row>
    <row r="2450" spans="1:4" ht="13.05" customHeight="1" x14ac:dyDescent="0.3">
      <c r="A2450" s="2" t="s">
        <v>432</v>
      </c>
      <c r="B2450" s="2" t="s">
        <v>1054</v>
      </c>
      <c r="C2450" s="5" t="s">
        <v>3703</v>
      </c>
      <c r="D2450" s="2" t="s">
        <v>3704</v>
      </c>
    </row>
    <row r="2451" spans="1:4" ht="13.05" customHeight="1" x14ac:dyDescent="0.3">
      <c r="A2451" s="2" t="s">
        <v>432</v>
      </c>
      <c r="B2451" s="2" t="s">
        <v>1054</v>
      </c>
      <c r="C2451" s="5" t="s">
        <v>3705</v>
      </c>
      <c r="D2451" s="2" t="s">
        <v>107</v>
      </c>
    </row>
    <row r="2452" spans="1:4" ht="13.05" customHeight="1" x14ac:dyDescent="0.3">
      <c r="A2452" s="2" t="s">
        <v>432</v>
      </c>
      <c r="B2452" s="2" t="s">
        <v>1054</v>
      </c>
      <c r="C2452" s="5" t="s">
        <v>3706</v>
      </c>
      <c r="D2452" s="2" t="s">
        <v>3707</v>
      </c>
    </row>
    <row r="2453" spans="1:4" ht="13.05" customHeight="1" x14ac:dyDescent="0.3">
      <c r="A2453" s="2" t="s">
        <v>432</v>
      </c>
      <c r="B2453" s="2" t="s">
        <v>1054</v>
      </c>
      <c r="C2453" s="5" t="s">
        <v>3708</v>
      </c>
      <c r="D2453" s="2" t="s">
        <v>3709</v>
      </c>
    </row>
    <row r="2454" spans="1:4" ht="13.05" customHeight="1" x14ac:dyDescent="0.3">
      <c r="A2454" s="2" t="s">
        <v>432</v>
      </c>
      <c r="B2454" s="2" t="s">
        <v>1054</v>
      </c>
      <c r="C2454" s="5" t="s">
        <v>3710</v>
      </c>
      <c r="D2454" s="2" t="s">
        <v>3711</v>
      </c>
    </row>
    <row r="2455" spans="1:4" ht="13.05" customHeight="1" x14ac:dyDescent="0.3">
      <c r="A2455" s="2" t="s">
        <v>432</v>
      </c>
      <c r="B2455" s="2" t="s">
        <v>1054</v>
      </c>
      <c r="C2455" s="5" t="s">
        <v>3712</v>
      </c>
      <c r="D2455" s="2" t="s">
        <v>3713</v>
      </c>
    </row>
    <row r="2456" spans="1:4" ht="13.05" customHeight="1" x14ac:dyDescent="0.3">
      <c r="A2456" s="2" t="s">
        <v>432</v>
      </c>
      <c r="B2456" s="2" t="s">
        <v>1054</v>
      </c>
      <c r="C2456" s="5" t="s">
        <v>3714</v>
      </c>
      <c r="D2456" s="2" t="s">
        <v>3411</v>
      </c>
    </row>
    <row r="2457" spans="1:4" ht="13.05" customHeight="1" x14ac:dyDescent="0.3">
      <c r="A2457" s="2" t="s">
        <v>432</v>
      </c>
      <c r="B2457" s="2" t="s">
        <v>1054</v>
      </c>
      <c r="C2457" s="5" t="s">
        <v>3715</v>
      </c>
      <c r="D2457" s="2" t="s">
        <v>3716</v>
      </c>
    </row>
    <row r="2458" spans="1:4" ht="13.05" customHeight="1" x14ac:dyDescent="0.3">
      <c r="A2458" s="2" t="s">
        <v>432</v>
      </c>
      <c r="B2458" s="2" t="s">
        <v>1054</v>
      </c>
      <c r="C2458" s="5" t="s">
        <v>3717</v>
      </c>
      <c r="D2458" s="2" t="s">
        <v>3718</v>
      </c>
    </row>
    <row r="2459" spans="1:4" ht="13.05" customHeight="1" x14ac:dyDescent="0.3">
      <c r="A2459" s="2" t="s">
        <v>432</v>
      </c>
      <c r="B2459" s="2" t="s">
        <v>1054</v>
      </c>
      <c r="C2459" s="5" t="s">
        <v>3719</v>
      </c>
      <c r="D2459" s="2" t="s">
        <v>3720</v>
      </c>
    </row>
    <row r="2460" spans="1:4" ht="13.05" customHeight="1" x14ac:dyDescent="0.3">
      <c r="A2460" s="2" t="s">
        <v>432</v>
      </c>
      <c r="B2460" s="2" t="s">
        <v>1054</v>
      </c>
      <c r="C2460" s="5" t="s">
        <v>3721</v>
      </c>
      <c r="D2460" s="2" t="s">
        <v>3722</v>
      </c>
    </row>
    <row r="2461" spans="1:4" ht="13.05" customHeight="1" x14ac:dyDescent="0.3">
      <c r="A2461" s="2" t="s">
        <v>432</v>
      </c>
      <c r="B2461" s="2" t="s">
        <v>1054</v>
      </c>
      <c r="C2461" s="5" t="s">
        <v>3723</v>
      </c>
      <c r="D2461" s="2" t="s">
        <v>3724</v>
      </c>
    </row>
    <row r="2462" spans="1:4" ht="13.05" customHeight="1" x14ac:dyDescent="0.3">
      <c r="A2462" s="2" t="s">
        <v>432</v>
      </c>
      <c r="B2462" s="2" t="s">
        <v>1054</v>
      </c>
      <c r="C2462" s="5" t="s">
        <v>3725</v>
      </c>
      <c r="D2462" s="2" t="s">
        <v>3447</v>
      </c>
    </row>
    <row r="2463" spans="1:4" ht="13.05" customHeight="1" x14ac:dyDescent="0.3">
      <c r="A2463" s="2" t="s">
        <v>432</v>
      </c>
      <c r="B2463" s="2" t="s">
        <v>1054</v>
      </c>
      <c r="C2463" s="5" t="s">
        <v>3726</v>
      </c>
      <c r="D2463" s="2" t="s">
        <v>3727</v>
      </c>
    </row>
    <row r="2464" spans="1:4" ht="13.05" customHeight="1" x14ac:dyDescent="0.3">
      <c r="A2464" s="2" t="s">
        <v>432</v>
      </c>
      <c r="B2464" s="2" t="s">
        <v>1054</v>
      </c>
      <c r="C2464" s="5" t="s">
        <v>3728</v>
      </c>
      <c r="D2464" s="2" t="s">
        <v>3729</v>
      </c>
    </row>
    <row r="2465" spans="1:4" ht="13.05" customHeight="1" x14ac:dyDescent="0.3">
      <c r="A2465" s="2" t="s">
        <v>432</v>
      </c>
      <c r="B2465" s="2" t="s">
        <v>1054</v>
      </c>
      <c r="C2465" s="5" t="s">
        <v>3730</v>
      </c>
      <c r="D2465" s="2" t="s">
        <v>3731</v>
      </c>
    </row>
    <row r="2466" spans="1:4" ht="13.05" customHeight="1" x14ac:dyDescent="0.3">
      <c r="A2466" s="2" t="s">
        <v>432</v>
      </c>
      <c r="B2466" s="2" t="s">
        <v>1054</v>
      </c>
      <c r="C2466" s="5" t="s">
        <v>3732</v>
      </c>
      <c r="D2466" s="2" t="s">
        <v>3733</v>
      </c>
    </row>
    <row r="2467" spans="1:4" ht="13.05" customHeight="1" x14ac:dyDescent="0.3">
      <c r="A2467" s="2" t="s">
        <v>432</v>
      </c>
      <c r="B2467" s="2" t="s">
        <v>1054</v>
      </c>
      <c r="C2467" s="5" t="s">
        <v>3734</v>
      </c>
      <c r="D2467" s="2" t="s">
        <v>3735</v>
      </c>
    </row>
    <row r="2468" spans="1:4" ht="13.05" customHeight="1" x14ac:dyDescent="0.3">
      <c r="A2468" s="2" t="s">
        <v>432</v>
      </c>
      <c r="B2468" s="2" t="s">
        <v>1054</v>
      </c>
      <c r="C2468" s="5" t="s">
        <v>3736</v>
      </c>
      <c r="D2468" s="2" t="s">
        <v>3737</v>
      </c>
    </row>
    <row r="2469" spans="1:4" ht="13.05" customHeight="1" x14ac:dyDescent="0.3">
      <c r="A2469" s="2" t="s">
        <v>432</v>
      </c>
      <c r="B2469" s="2" t="s">
        <v>1054</v>
      </c>
      <c r="C2469" s="5" t="s">
        <v>3738</v>
      </c>
      <c r="D2469" s="2" t="s">
        <v>3739</v>
      </c>
    </row>
    <row r="2470" spans="1:4" ht="13.05" customHeight="1" x14ac:dyDescent="0.3">
      <c r="A2470" s="2" t="s">
        <v>432</v>
      </c>
      <c r="B2470" s="2" t="s">
        <v>1054</v>
      </c>
      <c r="C2470" s="5" t="s">
        <v>3740</v>
      </c>
      <c r="D2470" s="2" t="s">
        <v>3741</v>
      </c>
    </row>
    <row r="2471" spans="1:4" ht="13.05" customHeight="1" x14ac:dyDescent="0.3">
      <c r="A2471" s="2" t="s">
        <v>432</v>
      </c>
      <c r="B2471" s="2" t="s">
        <v>1054</v>
      </c>
      <c r="C2471" s="5" t="s">
        <v>3742</v>
      </c>
      <c r="D2471" s="2" t="s">
        <v>3743</v>
      </c>
    </row>
    <row r="2472" spans="1:4" ht="13.05" customHeight="1" x14ac:dyDescent="0.3">
      <c r="A2472" s="2" t="s">
        <v>432</v>
      </c>
      <c r="B2472" s="2" t="s">
        <v>1054</v>
      </c>
      <c r="C2472" s="5" t="s">
        <v>3744</v>
      </c>
      <c r="D2472" s="2" t="s">
        <v>3745</v>
      </c>
    </row>
    <row r="2473" spans="1:4" ht="13.05" customHeight="1" x14ac:dyDescent="0.3">
      <c r="A2473" s="2" t="s">
        <v>432</v>
      </c>
      <c r="B2473" s="2" t="s">
        <v>1054</v>
      </c>
      <c r="C2473" s="5" t="s">
        <v>3746</v>
      </c>
      <c r="D2473" s="2" t="s">
        <v>3747</v>
      </c>
    </row>
    <row r="2474" spans="1:4" ht="13.05" customHeight="1" x14ac:dyDescent="0.3">
      <c r="A2474" s="2" t="s">
        <v>432</v>
      </c>
      <c r="B2474" s="2" t="s">
        <v>1054</v>
      </c>
      <c r="C2474" s="5" t="s">
        <v>3748</v>
      </c>
      <c r="D2474" s="2" t="s">
        <v>3552</v>
      </c>
    </row>
    <row r="2475" spans="1:4" ht="13.05" customHeight="1" x14ac:dyDescent="0.3">
      <c r="A2475" s="2" t="s">
        <v>432</v>
      </c>
      <c r="B2475" s="2" t="s">
        <v>1054</v>
      </c>
      <c r="C2475" s="5" t="s">
        <v>3749</v>
      </c>
      <c r="D2475" s="2" t="s">
        <v>3750</v>
      </c>
    </row>
    <row r="2476" spans="1:4" ht="13.05" customHeight="1" x14ac:dyDescent="0.3">
      <c r="A2476" s="2" t="s">
        <v>432</v>
      </c>
      <c r="B2476" s="2" t="s">
        <v>1054</v>
      </c>
      <c r="C2476" s="5" t="s">
        <v>3751</v>
      </c>
      <c r="D2476" s="2" t="s">
        <v>3752</v>
      </c>
    </row>
    <row r="2477" spans="1:4" ht="13.05" customHeight="1" x14ac:dyDescent="0.3">
      <c r="A2477" s="2" t="s">
        <v>432</v>
      </c>
      <c r="B2477" s="2" t="s">
        <v>1054</v>
      </c>
      <c r="C2477" s="5" t="s">
        <v>3753</v>
      </c>
      <c r="D2477" s="2" t="s">
        <v>3754</v>
      </c>
    </row>
    <row r="2478" spans="1:4" ht="13.05" customHeight="1" x14ac:dyDescent="0.3">
      <c r="A2478" s="2" t="s">
        <v>432</v>
      </c>
      <c r="B2478" s="2" t="s">
        <v>1054</v>
      </c>
      <c r="C2478" s="5" t="s">
        <v>3755</v>
      </c>
      <c r="D2478" s="2" t="s">
        <v>3387</v>
      </c>
    </row>
    <row r="2479" spans="1:4" ht="13.05" customHeight="1" x14ac:dyDescent="0.3">
      <c r="A2479" s="2" t="s">
        <v>432</v>
      </c>
      <c r="B2479" s="2" t="s">
        <v>1054</v>
      </c>
      <c r="C2479" s="5" t="s">
        <v>3756</v>
      </c>
      <c r="D2479" s="2" t="s">
        <v>3389</v>
      </c>
    </row>
    <row r="2480" spans="1:4" ht="13.05" customHeight="1" x14ac:dyDescent="0.3">
      <c r="A2480" s="2" t="s">
        <v>432</v>
      </c>
      <c r="B2480" s="2" t="s">
        <v>1054</v>
      </c>
      <c r="C2480" s="5" t="s">
        <v>3757</v>
      </c>
      <c r="D2480" s="2" t="s">
        <v>3564</v>
      </c>
    </row>
    <row r="2481" spans="1:4" ht="13.05" customHeight="1" x14ac:dyDescent="0.3">
      <c r="A2481" s="2" t="s">
        <v>432</v>
      </c>
      <c r="B2481" s="2" t="s">
        <v>1054</v>
      </c>
      <c r="C2481" s="5" t="s">
        <v>3758</v>
      </c>
      <c r="D2481" s="2" t="s">
        <v>3566</v>
      </c>
    </row>
    <row r="2482" spans="1:4" ht="13.05" customHeight="1" x14ac:dyDescent="0.3">
      <c r="A2482" s="2" t="s">
        <v>432</v>
      </c>
      <c r="B2482" s="2" t="s">
        <v>1054</v>
      </c>
      <c r="C2482" s="5" t="s">
        <v>3759</v>
      </c>
      <c r="D2482" s="2" t="s">
        <v>3760</v>
      </c>
    </row>
    <row r="2483" spans="1:4" ht="13.05" customHeight="1" x14ac:dyDescent="0.3">
      <c r="A2483" s="2" t="s">
        <v>432</v>
      </c>
      <c r="B2483" s="2" t="s">
        <v>1054</v>
      </c>
      <c r="C2483" s="5" t="s">
        <v>3761</v>
      </c>
      <c r="D2483" s="2" t="s">
        <v>3570</v>
      </c>
    </row>
    <row r="2484" spans="1:4" ht="13.05" customHeight="1" x14ac:dyDescent="0.3">
      <c r="A2484" s="2" t="s">
        <v>432</v>
      </c>
      <c r="B2484" s="2" t="s">
        <v>1054</v>
      </c>
      <c r="C2484" s="5" t="s">
        <v>3762</v>
      </c>
      <c r="D2484" s="2" t="s">
        <v>3572</v>
      </c>
    </row>
    <row r="2485" spans="1:4" ht="13.05" customHeight="1" x14ac:dyDescent="0.3">
      <c r="A2485" s="2" t="s">
        <v>432</v>
      </c>
      <c r="B2485" s="2" t="s">
        <v>1054</v>
      </c>
      <c r="C2485" s="5" t="s">
        <v>3763</v>
      </c>
      <c r="D2485" s="2" t="s">
        <v>3574</v>
      </c>
    </row>
    <row r="2486" spans="1:4" ht="13.05" customHeight="1" x14ac:dyDescent="0.3">
      <c r="A2486" s="2" t="s">
        <v>432</v>
      </c>
      <c r="B2486" s="2" t="s">
        <v>1054</v>
      </c>
      <c r="C2486" s="5" t="s">
        <v>3764</v>
      </c>
      <c r="D2486" s="2" t="s">
        <v>3765</v>
      </c>
    </row>
    <row r="2487" spans="1:4" ht="13.05" customHeight="1" x14ac:dyDescent="0.3">
      <c r="A2487" s="2" t="s">
        <v>432</v>
      </c>
      <c r="B2487" s="2" t="s">
        <v>1054</v>
      </c>
      <c r="C2487" s="5" t="s">
        <v>3766</v>
      </c>
      <c r="D2487" s="2" t="s">
        <v>3578</v>
      </c>
    </row>
    <row r="2488" spans="1:4" ht="13.05" customHeight="1" x14ac:dyDescent="0.3">
      <c r="A2488" s="2" t="s">
        <v>432</v>
      </c>
      <c r="B2488" s="2" t="s">
        <v>1054</v>
      </c>
      <c r="C2488" s="5" t="s">
        <v>3767</v>
      </c>
      <c r="D2488" s="2" t="s">
        <v>3393</v>
      </c>
    </row>
    <row r="2489" spans="1:4" ht="13.05" customHeight="1" x14ac:dyDescent="0.3">
      <c r="A2489" s="2" t="s">
        <v>432</v>
      </c>
      <c r="B2489" s="2" t="s">
        <v>1054</v>
      </c>
      <c r="C2489" s="5" t="s">
        <v>3768</v>
      </c>
      <c r="D2489" s="2" t="s">
        <v>3581</v>
      </c>
    </row>
    <row r="2490" spans="1:4" ht="13.05" customHeight="1" x14ac:dyDescent="0.3">
      <c r="A2490" s="2" t="s">
        <v>432</v>
      </c>
      <c r="B2490" s="2" t="s">
        <v>1054</v>
      </c>
      <c r="C2490" s="5" t="s">
        <v>3769</v>
      </c>
      <c r="D2490" s="2" t="s">
        <v>3770</v>
      </c>
    </row>
    <row r="2491" spans="1:4" ht="13.05" customHeight="1" x14ac:dyDescent="0.3">
      <c r="A2491" s="2" t="s">
        <v>432</v>
      </c>
      <c r="B2491" s="2" t="s">
        <v>1054</v>
      </c>
      <c r="C2491" s="5" t="s">
        <v>3771</v>
      </c>
      <c r="D2491" s="2" t="s">
        <v>3584</v>
      </c>
    </row>
    <row r="2492" spans="1:4" ht="13.05" customHeight="1" x14ac:dyDescent="0.3">
      <c r="A2492" s="2" t="s">
        <v>432</v>
      </c>
      <c r="B2492" s="2" t="s">
        <v>1054</v>
      </c>
      <c r="C2492" s="5" t="s">
        <v>3772</v>
      </c>
      <c r="D2492" s="2" t="s">
        <v>3401</v>
      </c>
    </row>
    <row r="2493" spans="1:4" ht="13.05" customHeight="1" x14ac:dyDescent="0.3">
      <c r="A2493" s="2" t="s">
        <v>432</v>
      </c>
      <c r="B2493" s="2" t="s">
        <v>1054</v>
      </c>
      <c r="C2493" s="5" t="s">
        <v>3773</v>
      </c>
      <c r="D2493" s="2" t="s">
        <v>3774</v>
      </c>
    </row>
    <row r="2494" spans="1:4" ht="13.05" customHeight="1" x14ac:dyDescent="0.3">
      <c r="A2494" s="2" t="s">
        <v>432</v>
      </c>
      <c r="B2494" s="2" t="s">
        <v>1054</v>
      </c>
      <c r="C2494" s="5" t="s">
        <v>3775</v>
      </c>
      <c r="D2494" s="2" t="s">
        <v>3776</v>
      </c>
    </row>
    <row r="2495" spans="1:4" ht="13.05" customHeight="1" x14ac:dyDescent="0.3">
      <c r="A2495" s="2" t="s">
        <v>432</v>
      </c>
      <c r="B2495" s="2" t="s">
        <v>1054</v>
      </c>
      <c r="C2495" s="5" t="s">
        <v>3777</v>
      </c>
      <c r="D2495" s="2" t="s">
        <v>3778</v>
      </c>
    </row>
    <row r="2496" spans="1:4" ht="13.05" customHeight="1" x14ac:dyDescent="0.3">
      <c r="A2496" s="2" t="s">
        <v>432</v>
      </c>
      <c r="B2496" s="2" t="s">
        <v>1054</v>
      </c>
      <c r="C2496" s="5" t="s">
        <v>3779</v>
      </c>
      <c r="D2496" s="2" t="s">
        <v>3780</v>
      </c>
    </row>
    <row r="2497" spans="1:4" ht="13.05" customHeight="1" x14ac:dyDescent="0.3">
      <c r="A2497" s="2" t="s">
        <v>432</v>
      </c>
      <c r="B2497" s="2" t="s">
        <v>1054</v>
      </c>
      <c r="C2497" s="5" t="s">
        <v>3781</v>
      </c>
      <c r="D2497" s="2" t="s">
        <v>3782</v>
      </c>
    </row>
    <row r="2498" spans="1:4" ht="13.05" customHeight="1" x14ac:dyDescent="0.3">
      <c r="A2498" s="2" t="s">
        <v>432</v>
      </c>
      <c r="B2498" s="2" t="s">
        <v>1054</v>
      </c>
      <c r="C2498" s="5" t="s">
        <v>3783</v>
      </c>
      <c r="D2498" s="2" t="s">
        <v>3784</v>
      </c>
    </row>
    <row r="2499" spans="1:4" ht="13.05" customHeight="1" x14ac:dyDescent="0.3">
      <c r="A2499" s="2" t="s">
        <v>432</v>
      </c>
      <c r="B2499" s="2" t="s">
        <v>1054</v>
      </c>
      <c r="C2499" s="5" t="s">
        <v>3785</v>
      </c>
      <c r="D2499" s="2" t="s">
        <v>3786</v>
      </c>
    </row>
    <row r="2500" spans="1:4" ht="13.05" customHeight="1" x14ac:dyDescent="0.3">
      <c r="A2500" s="2" t="s">
        <v>432</v>
      </c>
      <c r="B2500" s="2" t="s">
        <v>1054</v>
      </c>
      <c r="C2500" s="5" t="s">
        <v>3787</v>
      </c>
      <c r="D2500" s="2" t="s">
        <v>3788</v>
      </c>
    </row>
    <row r="2501" spans="1:4" ht="13.05" customHeight="1" x14ac:dyDescent="0.3">
      <c r="A2501" s="2" t="s">
        <v>432</v>
      </c>
      <c r="B2501" s="2" t="s">
        <v>1054</v>
      </c>
      <c r="C2501" s="5" t="s">
        <v>3789</v>
      </c>
      <c r="D2501" s="2" t="s">
        <v>3790</v>
      </c>
    </row>
    <row r="2502" spans="1:4" ht="13.05" customHeight="1" x14ac:dyDescent="0.3">
      <c r="A2502" s="2" t="s">
        <v>432</v>
      </c>
      <c r="B2502" s="2" t="s">
        <v>1054</v>
      </c>
      <c r="C2502" s="5" t="s">
        <v>3791</v>
      </c>
      <c r="D2502" s="2" t="s">
        <v>3792</v>
      </c>
    </row>
    <row r="2503" spans="1:4" ht="13.05" customHeight="1" x14ac:dyDescent="0.3">
      <c r="A2503" s="2" t="s">
        <v>432</v>
      </c>
      <c r="B2503" s="2" t="s">
        <v>1054</v>
      </c>
      <c r="C2503" s="5" t="s">
        <v>3793</v>
      </c>
      <c r="D2503" s="2" t="s">
        <v>3333</v>
      </c>
    </row>
    <row r="2504" spans="1:4" ht="13.05" customHeight="1" x14ac:dyDescent="0.3">
      <c r="A2504" s="2" t="s">
        <v>432</v>
      </c>
      <c r="B2504" s="2" t="s">
        <v>1054</v>
      </c>
      <c r="C2504" s="5" t="s">
        <v>3794</v>
      </c>
      <c r="D2504" s="2" t="s">
        <v>3447</v>
      </c>
    </row>
    <row r="2505" spans="1:4" ht="13.05" customHeight="1" x14ac:dyDescent="0.3">
      <c r="A2505" s="2" t="s">
        <v>432</v>
      </c>
      <c r="B2505" s="2" t="s">
        <v>1054</v>
      </c>
      <c r="C2505" s="5" t="s">
        <v>3795</v>
      </c>
      <c r="D2505" s="2" t="s">
        <v>3796</v>
      </c>
    </row>
    <row r="2506" spans="1:4" ht="13.05" customHeight="1" x14ac:dyDescent="0.3">
      <c r="A2506" s="2" t="s">
        <v>432</v>
      </c>
      <c r="B2506" s="2" t="s">
        <v>1054</v>
      </c>
      <c r="C2506" s="5" t="s">
        <v>3797</v>
      </c>
      <c r="D2506" s="2" t="s">
        <v>3798</v>
      </c>
    </row>
    <row r="2507" spans="1:4" ht="13.05" customHeight="1" x14ac:dyDescent="0.3">
      <c r="A2507" s="2" t="s">
        <v>432</v>
      </c>
      <c r="B2507" s="2" t="s">
        <v>1054</v>
      </c>
      <c r="C2507" s="5" t="s">
        <v>3799</v>
      </c>
      <c r="D2507" s="2" t="s">
        <v>3800</v>
      </c>
    </row>
    <row r="2508" spans="1:4" ht="13.05" customHeight="1" x14ac:dyDescent="0.3">
      <c r="A2508" s="2" t="s">
        <v>432</v>
      </c>
      <c r="B2508" s="2" t="s">
        <v>1054</v>
      </c>
      <c r="C2508" s="5" t="s">
        <v>3801</v>
      </c>
      <c r="D2508" s="2" t="s">
        <v>3802</v>
      </c>
    </row>
    <row r="2509" spans="1:4" ht="13.05" customHeight="1" x14ac:dyDescent="0.3">
      <c r="A2509" s="2" t="s">
        <v>432</v>
      </c>
      <c r="B2509" s="2" t="s">
        <v>1054</v>
      </c>
      <c r="C2509" s="5" t="s">
        <v>3803</v>
      </c>
      <c r="D2509" s="2" t="s">
        <v>3804</v>
      </c>
    </row>
    <row r="2510" spans="1:4" ht="13.05" customHeight="1" x14ac:dyDescent="0.3">
      <c r="A2510" s="2" t="s">
        <v>432</v>
      </c>
      <c r="B2510" s="2" t="s">
        <v>1054</v>
      </c>
      <c r="C2510" s="5" t="s">
        <v>3805</v>
      </c>
      <c r="D2510" s="2" t="s">
        <v>3365</v>
      </c>
    </row>
    <row r="2511" spans="1:4" ht="13.05" customHeight="1" x14ac:dyDescent="0.3">
      <c r="A2511" s="2" t="s">
        <v>432</v>
      </c>
      <c r="B2511" s="2" t="s">
        <v>1054</v>
      </c>
      <c r="C2511" s="5" t="s">
        <v>3806</v>
      </c>
      <c r="D2511" s="2" t="s">
        <v>3367</v>
      </c>
    </row>
    <row r="2512" spans="1:4" ht="13.05" customHeight="1" x14ac:dyDescent="0.3">
      <c r="A2512" s="2" t="s">
        <v>432</v>
      </c>
      <c r="B2512" s="2" t="s">
        <v>1054</v>
      </c>
      <c r="C2512" s="5" t="s">
        <v>3807</v>
      </c>
      <c r="D2512" s="2" t="s">
        <v>3808</v>
      </c>
    </row>
    <row r="2513" spans="1:4" ht="13.05" customHeight="1" x14ac:dyDescent="0.3">
      <c r="A2513" s="2" t="s">
        <v>432</v>
      </c>
      <c r="B2513" s="2" t="s">
        <v>1054</v>
      </c>
      <c r="C2513" s="5" t="s">
        <v>3809</v>
      </c>
      <c r="D2513" s="2" t="s">
        <v>3810</v>
      </c>
    </row>
    <row r="2514" spans="1:4" ht="13.05" customHeight="1" x14ac:dyDescent="0.3">
      <c r="A2514" s="2" t="s">
        <v>432</v>
      </c>
      <c r="B2514" s="2" t="s">
        <v>1054</v>
      </c>
      <c r="C2514" s="5" t="s">
        <v>3811</v>
      </c>
      <c r="D2514" s="2" t="s">
        <v>3812</v>
      </c>
    </row>
    <row r="2515" spans="1:4" ht="13.05" customHeight="1" x14ac:dyDescent="0.3">
      <c r="A2515" s="2" t="s">
        <v>432</v>
      </c>
      <c r="B2515" s="2" t="s">
        <v>1054</v>
      </c>
      <c r="C2515" s="5" t="s">
        <v>3813</v>
      </c>
      <c r="D2515" s="2" t="s">
        <v>3814</v>
      </c>
    </row>
    <row r="2516" spans="1:4" ht="13.05" customHeight="1" x14ac:dyDescent="0.3">
      <c r="A2516" s="2" t="s">
        <v>432</v>
      </c>
      <c r="B2516" s="2" t="s">
        <v>1054</v>
      </c>
      <c r="C2516" s="5" t="s">
        <v>3815</v>
      </c>
      <c r="D2516" s="2" t="s">
        <v>3816</v>
      </c>
    </row>
    <row r="2517" spans="1:4" ht="13.05" customHeight="1" x14ac:dyDescent="0.3">
      <c r="A2517" s="2" t="s">
        <v>432</v>
      </c>
      <c r="B2517" s="2" t="s">
        <v>1054</v>
      </c>
      <c r="C2517" s="5" t="s">
        <v>3817</v>
      </c>
      <c r="D2517" s="2" t="s">
        <v>3818</v>
      </c>
    </row>
    <row r="2518" spans="1:4" ht="13.05" customHeight="1" x14ac:dyDescent="0.3">
      <c r="A2518" s="2" t="s">
        <v>432</v>
      </c>
      <c r="B2518" s="2" t="s">
        <v>1054</v>
      </c>
      <c r="C2518" s="5" t="s">
        <v>3819</v>
      </c>
      <c r="D2518" s="2" t="s">
        <v>3820</v>
      </c>
    </row>
    <row r="2519" spans="1:4" ht="13.05" customHeight="1" x14ac:dyDescent="0.3">
      <c r="A2519" s="2" t="s">
        <v>432</v>
      </c>
      <c r="B2519" s="2" t="s">
        <v>1054</v>
      </c>
      <c r="C2519" s="5" t="s">
        <v>1438</v>
      </c>
      <c r="D2519" s="2" t="s">
        <v>3821</v>
      </c>
    </row>
    <row r="2520" spans="1:4" ht="13.05" customHeight="1" x14ac:dyDescent="0.3">
      <c r="A2520" s="2" t="s">
        <v>432</v>
      </c>
      <c r="B2520" s="2" t="s">
        <v>1054</v>
      </c>
      <c r="C2520" s="5" t="s">
        <v>3822</v>
      </c>
      <c r="D2520" s="2" t="s">
        <v>3823</v>
      </c>
    </row>
    <row r="2521" spans="1:4" ht="13.05" customHeight="1" x14ac:dyDescent="0.3">
      <c r="A2521" s="2" t="s">
        <v>432</v>
      </c>
      <c r="B2521" s="2" t="s">
        <v>1054</v>
      </c>
      <c r="C2521" s="5" t="s">
        <v>3824</v>
      </c>
      <c r="D2521" s="2" t="s">
        <v>3825</v>
      </c>
    </row>
    <row r="2522" spans="1:4" ht="13.05" customHeight="1" x14ac:dyDescent="0.3">
      <c r="A2522" s="2" t="s">
        <v>432</v>
      </c>
      <c r="B2522" s="2" t="s">
        <v>1054</v>
      </c>
      <c r="C2522" s="5" t="s">
        <v>3826</v>
      </c>
      <c r="D2522" s="2" t="s">
        <v>3827</v>
      </c>
    </row>
    <row r="2523" spans="1:4" ht="13.05" customHeight="1" x14ac:dyDescent="0.3">
      <c r="A2523" s="2" t="s">
        <v>432</v>
      </c>
      <c r="B2523" s="2" t="s">
        <v>1054</v>
      </c>
      <c r="C2523" s="5" t="s">
        <v>3828</v>
      </c>
      <c r="D2523" s="2" t="s">
        <v>3829</v>
      </c>
    </row>
    <row r="2524" spans="1:4" ht="13.05" customHeight="1" x14ac:dyDescent="0.3">
      <c r="A2524" s="2" t="s">
        <v>432</v>
      </c>
      <c r="B2524" s="2" t="s">
        <v>1054</v>
      </c>
      <c r="C2524" s="5" t="s">
        <v>3830</v>
      </c>
      <c r="D2524" s="2" t="s">
        <v>3831</v>
      </c>
    </row>
    <row r="2525" spans="1:4" ht="13.05" customHeight="1" x14ac:dyDescent="0.3">
      <c r="A2525" s="2" t="s">
        <v>432</v>
      </c>
      <c r="B2525" s="2" t="s">
        <v>1054</v>
      </c>
      <c r="C2525" s="5" t="s">
        <v>1440</v>
      </c>
      <c r="D2525" s="2" t="s">
        <v>3832</v>
      </c>
    </row>
    <row r="2526" spans="1:4" ht="13.05" customHeight="1" x14ac:dyDescent="0.3">
      <c r="A2526" s="2" t="s">
        <v>432</v>
      </c>
      <c r="B2526" s="2" t="s">
        <v>1054</v>
      </c>
      <c r="C2526" s="5" t="s">
        <v>3833</v>
      </c>
      <c r="D2526" s="2" t="s">
        <v>3834</v>
      </c>
    </row>
    <row r="2527" spans="1:4" ht="13.05" customHeight="1" x14ac:dyDescent="0.3">
      <c r="A2527" s="2" t="s">
        <v>432</v>
      </c>
      <c r="B2527" s="2" t="s">
        <v>1054</v>
      </c>
      <c r="C2527" s="5" t="s">
        <v>3835</v>
      </c>
      <c r="D2527" s="2" t="s">
        <v>3836</v>
      </c>
    </row>
    <row r="2528" spans="1:4" ht="13.05" customHeight="1" x14ac:dyDescent="0.3">
      <c r="A2528" s="2" t="s">
        <v>432</v>
      </c>
      <c r="B2528" s="2" t="s">
        <v>1054</v>
      </c>
      <c r="C2528" s="5" t="s">
        <v>3837</v>
      </c>
      <c r="D2528" s="2" t="s">
        <v>3838</v>
      </c>
    </row>
    <row r="2529" spans="1:4" ht="13.05" customHeight="1" x14ac:dyDescent="0.3">
      <c r="A2529" s="2" t="s">
        <v>432</v>
      </c>
      <c r="B2529" s="2" t="s">
        <v>1054</v>
      </c>
      <c r="C2529" s="5" t="s">
        <v>3839</v>
      </c>
      <c r="D2529" s="2" t="s">
        <v>3840</v>
      </c>
    </row>
    <row r="2530" spans="1:4" ht="13.05" customHeight="1" x14ac:dyDescent="0.3">
      <c r="A2530" s="2" t="s">
        <v>432</v>
      </c>
      <c r="B2530" s="2" t="s">
        <v>1054</v>
      </c>
      <c r="C2530" s="5" t="s">
        <v>3841</v>
      </c>
      <c r="D2530" s="2" t="s">
        <v>3842</v>
      </c>
    </row>
    <row r="2531" spans="1:4" ht="13.05" customHeight="1" x14ac:dyDescent="0.3">
      <c r="A2531" s="2" t="s">
        <v>432</v>
      </c>
      <c r="B2531" s="2" t="s">
        <v>1054</v>
      </c>
      <c r="C2531" s="5" t="s">
        <v>3843</v>
      </c>
      <c r="D2531" s="2" t="s">
        <v>3844</v>
      </c>
    </row>
    <row r="2532" spans="1:4" ht="13.05" customHeight="1" x14ac:dyDescent="0.3">
      <c r="A2532" s="2" t="s">
        <v>432</v>
      </c>
      <c r="B2532" s="2" t="s">
        <v>1054</v>
      </c>
      <c r="C2532" s="5" t="s">
        <v>3845</v>
      </c>
      <c r="D2532" s="2" t="s">
        <v>3846</v>
      </c>
    </row>
    <row r="2533" spans="1:4" ht="13.05" customHeight="1" x14ac:dyDescent="0.3">
      <c r="A2533" s="2" t="s">
        <v>432</v>
      </c>
      <c r="B2533" s="2" t="s">
        <v>1054</v>
      </c>
      <c r="C2533" s="5" t="s">
        <v>3847</v>
      </c>
      <c r="D2533" s="2" t="s">
        <v>3445</v>
      </c>
    </row>
    <row r="2534" spans="1:4" ht="13.05" customHeight="1" x14ac:dyDescent="0.3">
      <c r="A2534" s="2" t="s">
        <v>432</v>
      </c>
      <c r="B2534" s="2" t="s">
        <v>1054</v>
      </c>
      <c r="C2534" s="5" t="s">
        <v>3848</v>
      </c>
      <c r="D2534" s="2" t="s">
        <v>3447</v>
      </c>
    </row>
    <row r="2535" spans="1:4" ht="13.05" customHeight="1" x14ac:dyDescent="0.3">
      <c r="A2535" s="2" t="s">
        <v>432</v>
      </c>
      <c r="B2535" s="2" t="s">
        <v>1054</v>
      </c>
      <c r="C2535" s="5" t="s">
        <v>3849</v>
      </c>
      <c r="D2535" s="2" t="s">
        <v>3850</v>
      </c>
    </row>
    <row r="2536" spans="1:4" ht="13.05" customHeight="1" x14ac:dyDescent="0.3">
      <c r="A2536" s="2" t="s">
        <v>432</v>
      </c>
      <c r="B2536" s="2" t="s">
        <v>1054</v>
      </c>
      <c r="C2536" s="5" t="s">
        <v>3851</v>
      </c>
      <c r="D2536" s="2" t="s">
        <v>3852</v>
      </c>
    </row>
    <row r="2537" spans="1:4" ht="13.05" customHeight="1" x14ac:dyDescent="0.3">
      <c r="A2537" s="2" t="s">
        <v>432</v>
      </c>
      <c r="B2537" s="2" t="s">
        <v>1054</v>
      </c>
      <c r="C2537" s="5" t="s">
        <v>3853</v>
      </c>
      <c r="D2537" s="2" t="s">
        <v>3854</v>
      </c>
    </row>
    <row r="2538" spans="1:4" ht="13.05" customHeight="1" x14ac:dyDescent="0.3">
      <c r="A2538" s="2" t="s">
        <v>432</v>
      </c>
      <c r="B2538" s="2" t="s">
        <v>1054</v>
      </c>
      <c r="C2538" s="5" t="s">
        <v>3855</v>
      </c>
      <c r="D2538" s="2" t="s">
        <v>3856</v>
      </c>
    </row>
    <row r="2539" spans="1:4" ht="13.05" customHeight="1" x14ac:dyDescent="0.3">
      <c r="A2539" s="2" t="s">
        <v>432</v>
      </c>
      <c r="B2539" s="2" t="s">
        <v>1054</v>
      </c>
      <c r="C2539" s="5" t="s">
        <v>3857</v>
      </c>
      <c r="D2539" s="2" t="s">
        <v>3365</v>
      </c>
    </row>
    <row r="2540" spans="1:4" ht="13.05" customHeight="1" x14ac:dyDescent="0.3">
      <c r="A2540" s="2" t="s">
        <v>432</v>
      </c>
      <c r="B2540" s="2" t="s">
        <v>1054</v>
      </c>
      <c r="C2540" s="5" t="s">
        <v>3858</v>
      </c>
      <c r="D2540" s="2" t="s">
        <v>3367</v>
      </c>
    </row>
    <row r="2541" spans="1:4" ht="13.05" customHeight="1" x14ac:dyDescent="0.3">
      <c r="A2541" s="2" t="s">
        <v>432</v>
      </c>
      <c r="B2541" s="2" t="s">
        <v>1054</v>
      </c>
      <c r="C2541" s="5" t="s">
        <v>3859</v>
      </c>
      <c r="D2541" s="2" t="s">
        <v>3860</v>
      </c>
    </row>
    <row r="2542" spans="1:4" ht="13.05" customHeight="1" x14ac:dyDescent="0.3">
      <c r="A2542" s="2" t="s">
        <v>432</v>
      </c>
      <c r="B2542" s="2" t="s">
        <v>1054</v>
      </c>
      <c r="C2542" s="5" t="s">
        <v>3861</v>
      </c>
      <c r="D2542" s="2" t="s">
        <v>3862</v>
      </c>
    </row>
    <row r="2543" spans="1:4" ht="13.05" customHeight="1" x14ac:dyDescent="0.3">
      <c r="A2543" s="2" t="s">
        <v>432</v>
      </c>
      <c r="B2543" s="2" t="s">
        <v>1054</v>
      </c>
      <c r="C2543" s="5" t="s">
        <v>3863</v>
      </c>
      <c r="D2543" s="2" t="s">
        <v>3864</v>
      </c>
    </row>
    <row r="2544" spans="1:4" ht="13.05" customHeight="1" x14ac:dyDescent="0.3">
      <c r="A2544" s="2" t="s">
        <v>432</v>
      </c>
      <c r="B2544" s="2" t="s">
        <v>1054</v>
      </c>
      <c r="C2544" s="5" t="s">
        <v>3865</v>
      </c>
      <c r="D2544" s="2" t="s">
        <v>3866</v>
      </c>
    </row>
    <row r="2545" spans="1:4" ht="13.05" customHeight="1" x14ac:dyDescent="0.3">
      <c r="A2545" s="2" t="s">
        <v>432</v>
      </c>
      <c r="B2545" s="2" t="s">
        <v>1054</v>
      </c>
      <c r="C2545" s="5" t="s">
        <v>3867</v>
      </c>
      <c r="D2545" s="2" t="s">
        <v>3868</v>
      </c>
    </row>
    <row r="2546" spans="1:4" ht="13.05" customHeight="1" x14ac:dyDescent="0.3">
      <c r="A2546" s="2" t="s">
        <v>432</v>
      </c>
      <c r="B2546" s="2" t="s">
        <v>1054</v>
      </c>
      <c r="C2546" s="5" t="s">
        <v>3869</v>
      </c>
      <c r="D2546" s="2" t="s">
        <v>3870</v>
      </c>
    </row>
    <row r="2547" spans="1:4" ht="13.05" customHeight="1" x14ac:dyDescent="0.3">
      <c r="A2547" s="2" t="s">
        <v>432</v>
      </c>
      <c r="B2547" s="2" t="s">
        <v>1054</v>
      </c>
      <c r="C2547" s="5" t="s">
        <v>3871</v>
      </c>
      <c r="D2547" s="2" t="s">
        <v>3872</v>
      </c>
    </row>
    <row r="2548" spans="1:4" ht="13.05" customHeight="1" x14ac:dyDescent="0.3">
      <c r="A2548" s="2" t="s">
        <v>432</v>
      </c>
      <c r="B2548" s="2" t="s">
        <v>1054</v>
      </c>
      <c r="C2548" s="5" t="s">
        <v>3873</v>
      </c>
      <c r="D2548" s="2" t="s">
        <v>3874</v>
      </c>
    </row>
    <row r="2549" spans="1:4" ht="13.05" customHeight="1" x14ac:dyDescent="0.3">
      <c r="A2549" s="2" t="s">
        <v>432</v>
      </c>
      <c r="B2549" s="2" t="s">
        <v>1054</v>
      </c>
      <c r="C2549" s="5" t="s">
        <v>3875</v>
      </c>
      <c r="D2549" s="2" t="s">
        <v>3876</v>
      </c>
    </row>
    <row r="2550" spans="1:4" ht="13.05" customHeight="1" x14ac:dyDescent="0.3">
      <c r="A2550" s="2" t="s">
        <v>432</v>
      </c>
      <c r="B2550" s="2" t="s">
        <v>1054</v>
      </c>
      <c r="C2550" s="5" t="s">
        <v>3877</v>
      </c>
      <c r="D2550" s="2" t="s">
        <v>3878</v>
      </c>
    </row>
    <row r="2551" spans="1:4" ht="13.05" customHeight="1" x14ac:dyDescent="0.3">
      <c r="A2551" s="2" t="s">
        <v>432</v>
      </c>
      <c r="B2551" s="2" t="s">
        <v>1054</v>
      </c>
      <c r="C2551" s="5" t="s">
        <v>3879</v>
      </c>
      <c r="D2551" s="2" t="s">
        <v>3880</v>
      </c>
    </row>
    <row r="2552" spans="1:4" ht="13.05" customHeight="1" x14ac:dyDescent="0.3">
      <c r="A2552" s="2" t="s">
        <v>432</v>
      </c>
      <c r="B2552" s="2" t="s">
        <v>1054</v>
      </c>
      <c r="C2552" s="5" t="s">
        <v>3881</v>
      </c>
      <c r="D2552" s="2" t="s">
        <v>3882</v>
      </c>
    </row>
    <row r="2553" spans="1:4" ht="13.05" customHeight="1" x14ac:dyDescent="0.3">
      <c r="A2553" s="2" t="s">
        <v>432</v>
      </c>
      <c r="B2553" s="2" t="s">
        <v>1054</v>
      </c>
      <c r="C2553" s="5" t="s">
        <v>3883</v>
      </c>
      <c r="D2553" s="2" t="s">
        <v>3884</v>
      </c>
    </row>
    <row r="2554" spans="1:4" ht="13.05" customHeight="1" x14ac:dyDescent="0.3">
      <c r="A2554" s="2" t="s">
        <v>432</v>
      </c>
      <c r="B2554" s="2" t="s">
        <v>1054</v>
      </c>
      <c r="C2554" s="5" t="s">
        <v>1608</v>
      </c>
      <c r="D2554" s="2" t="s">
        <v>3885</v>
      </c>
    </row>
    <row r="2555" spans="1:4" ht="13.05" customHeight="1" x14ac:dyDescent="0.3">
      <c r="A2555" s="2" t="s">
        <v>432</v>
      </c>
      <c r="B2555" s="2" t="s">
        <v>1054</v>
      </c>
      <c r="C2555" s="5" t="s">
        <v>3886</v>
      </c>
      <c r="D2555" s="2" t="s">
        <v>3887</v>
      </c>
    </row>
    <row r="2556" spans="1:4" ht="13.05" customHeight="1" x14ac:dyDescent="0.3">
      <c r="A2556" s="2" t="s">
        <v>432</v>
      </c>
      <c r="B2556" s="2" t="s">
        <v>1054</v>
      </c>
      <c r="C2556" s="5" t="s">
        <v>3888</v>
      </c>
      <c r="D2556" s="2" t="s">
        <v>3889</v>
      </c>
    </row>
    <row r="2557" spans="1:4" ht="13.05" customHeight="1" x14ac:dyDescent="0.3">
      <c r="A2557" s="2" t="s">
        <v>432</v>
      </c>
      <c r="B2557" s="2" t="s">
        <v>1054</v>
      </c>
      <c r="C2557" s="5" t="s">
        <v>3890</v>
      </c>
      <c r="D2557" s="2" t="s">
        <v>3891</v>
      </c>
    </row>
    <row r="2558" spans="1:4" ht="13.05" customHeight="1" x14ac:dyDescent="0.3">
      <c r="A2558" s="2" t="s">
        <v>432</v>
      </c>
      <c r="B2558" s="2" t="s">
        <v>1054</v>
      </c>
      <c r="C2558" s="5" t="s">
        <v>3892</v>
      </c>
      <c r="D2558" s="2" t="s">
        <v>3893</v>
      </c>
    </row>
    <row r="2559" spans="1:4" ht="13.05" customHeight="1" x14ac:dyDescent="0.3">
      <c r="A2559" s="2" t="s">
        <v>432</v>
      </c>
      <c r="B2559" s="2" t="s">
        <v>1054</v>
      </c>
      <c r="C2559" s="5" t="s">
        <v>3894</v>
      </c>
      <c r="D2559" s="2" t="s">
        <v>3895</v>
      </c>
    </row>
    <row r="2560" spans="1:4" ht="13.05" customHeight="1" x14ac:dyDescent="0.3">
      <c r="A2560" s="2" t="s">
        <v>432</v>
      </c>
      <c r="B2560" s="2" t="s">
        <v>1054</v>
      </c>
      <c r="C2560" s="5" t="s">
        <v>3896</v>
      </c>
      <c r="D2560" s="2" t="s">
        <v>3897</v>
      </c>
    </row>
    <row r="2561" spans="1:4" ht="13.05" customHeight="1" x14ac:dyDescent="0.3">
      <c r="A2561" s="2" t="s">
        <v>432</v>
      </c>
      <c r="B2561" s="2" t="s">
        <v>1054</v>
      </c>
      <c r="C2561" s="5" t="s">
        <v>3898</v>
      </c>
      <c r="D2561" s="2" t="s">
        <v>3899</v>
      </c>
    </row>
    <row r="2562" spans="1:4" ht="13.05" customHeight="1" x14ac:dyDescent="0.3">
      <c r="A2562" s="2" t="s">
        <v>432</v>
      </c>
      <c r="B2562" s="2" t="s">
        <v>1054</v>
      </c>
      <c r="C2562" s="5" t="s">
        <v>3900</v>
      </c>
      <c r="D2562" s="2" t="s">
        <v>3901</v>
      </c>
    </row>
    <row r="2563" spans="1:4" ht="13.05" customHeight="1" x14ac:dyDescent="0.3">
      <c r="A2563" s="2" t="s">
        <v>432</v>
      </c>
      <c r="B2563" s="2" t="s">
        <v>1054</v>
      </c>
      <c r="C2563" s="5" t="s">
        <v>3902</v>
      </c>
      <c r="D2563" s="2" t="s">
        <v>3903</v>
      </c>
    </row>
    <row r="2564" spans="1:4" ht="13.05" customHeight="1" x14ac:dyDescent="0.3">
      <c r="A2564" s="2" t="s">
        <v>432</v>
      </c>
      <c r="B2564" s="2" t="s">
        <v>1054</v>
      </c>
      <c r="C2564" s="5" t="s">
        <v>3904</v>
      </c>
      <c r="D2564" s="2" t="s">
        <v>3445</v>
      </c>
    </row>
    <row r="2565" spans="1:4" ht="13.05" customHeight="1" x14ac:dyDescent="0.3">
      <c r="A2565" s="2" t="s">
        <v>432</v>
      </c>
      <c r="B2565" s="2" t="s">
        <v>1054</v>
      </c>
      <c r="C2565" s="5" t="s">
        <v>3905</v>
      </c>
      <c r="D2565" s="2" t="s">
        <v>3447</v>
      </c>
    </row>
    <row r="2566" spans="1:4" ht="13.05" customHeight="1" x14ac:dyDescent="0.3">
      <c r="A2566" s="2" t="s">
        <v>432</v>
      </c>
      <c r="B2566" s="2" t="s">
        <v>1054</v>
      </c>
      <c r="C2566" s="5" t="s">
        <v>3906</v>
      </c>
      <c r="D2566" s="2" t="s">
        <v>3907</v>
      </c>
    </row>
    <row r="2567" spans="1:4" ht="13.05" customHeight="1" x14ac:dyDescent="0.3">
      <c r="A2567" s="2" t="s">
        <v>432</v>
      </c>
      <c r="B2567" s="2" t="s">
        <v>1054</v>
      </c>
      <c r="C2567" s="5" t="s">
        <v>3908</v>
      </c>
      <c r="D2567" s="2" t="s">
        <v>3909</v>
      </c>
    </row>
    <row r="2568" spans="1:4" ht="13.05" customHeight="1" x14ac:dyDescent="0.3">
      <c r="A2568" s="2" t="s">
        <v>432</v>
      </c>
      <c r="B2568" s="2" t="s">
        <v>1054</v>
      </c>
      <c r="C2568" s="5" t="s">
        <v>3910</v>
      </c>
      <c r="D2568" s="2" t="s">
        <v>3911</v>
      </c>
    </row>
    <row r="2569" spans="1:4" ht="13.05" customHeight="1" x14ac:dyDescent="0.3">
      <c r="A2569" s="2" t="s">
        <v>432</v>
      </c>
      <c r="B2569" s="2" t="s">
        <v>1054</v>
      </c>
      <c r="C2569" s="5" t="s">
        <v>3912</v>
      </c>
      <c r="D2569" s="2" t="s">
        <v>3913</v>
      </c>
    </row>
    <row r="2570" spans="1:4" ht="13.05" customHeight="1" x14ac:dyDescent="0.3">
      <c r="A2570" s="2" t="s">
        <v>432</v>
      </c>
      <c r="B2570" s="2" t="s">
        <v>1054</v>
      </c>
      <c r="C2570" s="5" t="s">
        <v>3914</v>
      </c>
      <c r="D2570" s="2" t="s">
        <v>3915</v>
      </c>
    </row>
    <row r="2571" spans="1:4" ht="13.05" customHeight="1" x14ac:dyDescent="0.3">
      <c r="A2571" s="2" t="s">
        <v>432</v>
      </c>
      <c r="B2571" s="2" t="s">
        <v>1054</v>
      </c>
      <c r="C2571" s="5" t="s">
        <v>3916</v>
      </c>
      <c r="D2571" s="2" t="s">
        <v>3365</v>
      </c>
    </row>
    <row r="2572" spans="1:4" ht="13.05" customHeight="1" x14ac:dyDescent="0.3">
      <c r="A2572" s="2" t="s">
        <v>432</v>
      </c>
      <c r="B2572" s="2" t="s">
        <v>1054</v>
      </c>
      <c r="C2572" s="5" t="s">
        <v>3917</v>
      </c>
      <c r="D2572" s="2" t="s">
        <v>3367</v>
      </c>
    </row>
    <row r="2573" spans="1:4" ht="13.05" customHeight="1" x14ac:dyDescent="0.3">
      <c r="A2573" s="2" t="s">
        <v>432</v>
      </c>
      <c r="B2573" s="2" t="s">
        <v>1054</v>
      </c>
      <c r="C2573" s="5" t="s">
        <v>3918</v>
      </c>
      <c r="D2573" s="2" t="s">
        <v>3919</v>
      </c>
    </row>
    <row r="2574" spans="1:4" ht="13.05" customHeight="1" x14ac:dyDescent="0.3">
      <c r="A2574" s="2" t="s">
        <v>432</v>
      </c>
      <c r="B2574" s="2" t="s">
        <v>1054</v>
      </c>
      <c r="C2574" s="5" t="s">
        <v>3920</v>
      </c>
      <c r="D2574" s="2" t="s">
        <v>3921</v>
      </c>
    </row>
    <row r="2575" spans="1:4" ht="13.05" customHeight="1" x14ac:dyDescent="0.3">
      <c r="A2575" s="2" t="s">
        <v>432</v>
      </c>
      <c r="B2575" s="2" t="s">
        <v>1054</v>
      </c>
      <c r="C2575" s="5" t="s">
        <v>3922</v>
      </c>
      <c r="D2575" s="2" t="s">
        <v>3923</v>
      </c>
    </row>
    <row r="2576" spans="1:4" ht="13.05" customHeight="1" x14ac:dyDescent="0.3">
      <c r="A2576" s="2" t="s">
        <v>432</v>
      </c>
      <c r="B2576" s="2" t="s">
        <v>1054</v>
      </c>
      <c r="C2576" s="5" t="s">
        <v>3924</v>
      </c>
      <c r="D2576" s="2" t="s">
        <v>3925</v>
      </c>
    </row>
    <row r="2577" spans="1:4" ht="13.05" customHeight="1" x14ac:dyDescent="0.3">
      <c r="A2577" s="2" t="s">
        <v>432</v>
      </c>
      <c r="B2577" s="2" t="s">
        <v>1054</v>
      </c>
      <c r="C2577" s="5" t="s">
        <v>3926</v>
      </c>
      <c r="D2577" s="2" t="s">
        <v>3927</v>
      </c>
    </row>
    <row r="2578" spans="1:4" ht="13.05" customHeight="1" x14ac:dyDescent="0.3">
      <c r="A2578" s="2" t="s">
        <v>432</v>
      </c>
      <c r="B2578" s="2" t="s">
        <v>1054</v>
      </c>
      <c r="C2578" s="5" t="s">
        <v>3928</v>
      </c>
      <c r="D2578" s="2" t="s">
        <v>3929</v>
      </c>
    </row>
    <row r="2579" spans="1:4" ht="13.05" customHeight="1" x14ac:dyDescent="0.3">
      <c r="A2579" s="2" t="s">
        <v>432</v>
      </c>
      <c r="B2579" s="2" t="s">
        <v>1054</v>
      </c>
      <c r="C2579" s="5" t="s">
        <v>3930</v>
      </c>
      <c r="D2579" s="2" t="s">
        <v>3931</v>
      </c>
    </row>
    <row r="2580" spans="1:4" ht="13.05" customHeight="1" x14ac:dyDescent="0.3">
      <c r="A2580" s="2" t="s">
        <v>432</v>
      </c>
      <c r="B2580" s="2" t="s">
        <v>1054</v>
      </c>
      <c r="C2580" s="5" t="s">
        <v>3932</v>
      </c>
      <c r="D2580" s="2" t="s">
        <v>3933</v>
      </c>
    </row>
    <row r="2581" spans="1:4" ht="13.05" customHeight="1" x14ac:dyDescent="0.3">
      <c r="A2581" s="2" t="s">
        <v>432</v>
      </c>
      <c r="B2581" s="2" t="s">
        <v>1054</v>
      </c>
      <c r="C2581" s="5" t="s">
        <v>3934</v>
      </c>
      <c r="D2581" s="2" t="s">
        <v>3935</v>
      </c>
    </row>
    <row r="2582" spans="1:4" ht="13.05" customHeight="1" x14ac:dyDescent="0.3">
      <c r="A2582" s="2" t="s">
        <v>432</v>
      </c>
      <c r="B2582" s="2" t="s">
        <v>1054</v>
      </c>
      <c r="C2582" s="5" t="s">
        <v>3936</v>
      </c>
      <c r="D2582" s="2" t="s">
        <v>3937</v>
      </c>
    </row>
    <row r="2583" spans="1:4" ht="13.05" customHeight="1" x14ac:dyDescent="0.3">
      <c r="A2583" s="2" t="s">
        <v>432</v>
      </c>
      <c r="B2583" s="2" t="s">
        <v>1054</v>
      </c>
      <c r="C2583" s="5" t="s">
        <v>3938</v>
      </c>
      <c r="D2583" s="2" t="s">
        <v>3939</v>
      </c>
    </row>
    <row r="2584" spans="1:4" ht="13.05" customHeight="1" x14ac:dyDescent="0.3">
      <c r="A2584" s="2" t="s">
        <v>432</v>
      </c>
      <c r="B2584" s="2" t="s">
        <v>1054</v>
      </c>
      <c r="C2584" s="5" t="s">
        <v>3940</v>
      </c>
      <c r="D2584" s="2" t="s">
        <v>3941</v>
      </c>
    </row>
    <row r="2585" spans="1:4" ht="13.05" customHeight="1" x14ac:dyDescent="0.3">
      <c r="A2585" s="2" t="s">
        <v>432</v>
      </c>
      <c r="B2585" s="2" t="s">
        <v>1054</v>
      </c>
      <c r="C2585" s="5" t="s">
        <v>3942</v>
      </c>
      <c r="D2585" s="2" t="s">
        <v>3943</v>
      </c>
    </row>
    <row r="2586" spans="1:4" ht="13.05" customHeight="1" x14ac:dyDescent="0.3">
      <c r="A2586" s="2" t="s">
        <v>432</v>
      </c>
      <c r="B2586" s="2" t="s">
        <v>1054</v>
      </c>
      <c r="C2586" s="5" t="s">
        <v>3944</v>
      </c>
      <c r="D2586" s="2" t="s">
        <v>3945</v>
      </c>
    </row>
    <row r="2587" spans="1:4" ht="13.05" customHeight="1" x14ac:dyDescent="0.3">
      <c r="A2587" s="2" t="s">
        <v>432</v>
      </c>
      <c r="B2587" s="2" t="s">
        <v>1054</v>
      </c>
      <c r="C2587" s="5" t="s">
        <v>3946</v>
      </c>
      <c r="D2587" s="2" t="s">
        <v>3947</v>
      </c>
    </row>
    <row r="2588" spans="1:4" ht="13.05" customHeight="1" x14ac:dyDescent="0.3">
      <c r="A2588" s="2" t="s">
        <v>432</v>
      </c>
      <c r="B2588" s="2" t="s">
        <v>1054</v>
      </c>
      <c r="C2588" s="5" t="s">
        <v>3948</v>
      </c>
      <c r="D2588" s="2" t="s">
        <v>3949</v>
      </c>
    </row>
    <row r="2589" spans="1:4" ht="13.05" customHeight="1" x14ac:dyDescent="0.3">
      <c r="A2589" s="2" t="s">
        <v>432</v>
      </c>
      <c r="B2589" s="2" t="s">
        <v>1054</v>
      </c>
      <c r="C2589" s="5" t="s">
        <v>3950</v>
      </c>
      <c r="D2589" s="2" t="s">
        <v>3951</v>
      </c>
    </row>
    <row r="2590" spans="1:4" ht="13.05" customHeight="1" x14ac:dyDescent="0.3">
      <c r="A2590" s="2" t="s">
        <v>432</v>
      </c>
      <c r="B2590" s="2" t="s">
        <v>1054</v>
      </c>
      <c r="C2590" s="5" t="s">
        <v>3952</v>
      </c>
      <c r="D2590" s="2" t="s">
        <v>3445</v>
      </c>
    </row>
    <row r="2591" spans="1:4" ht="13.05" customHeight="1" x14ac:dyDescent="0.3">
      <c r="A2591" s="2" t="s">
        <v>432</v>
      </c>
      <c r="B2591" s="2" t="s">
        <v>1054</v>
      </c>
      <c r="C2591" s="5" t="s">
        <v>3953</v>
      </c>
      <c r="D2591" s="2" t="s">
        <v>3447</v>
      </c>
    </row>
    <row r="2592" spans="1:4" ht="13.05" customHeight="1" x14ac:dyDescent="0.3">
      <c r="A2592" s="2" t="s">
        <v>432</v>
      </c>
      <c r="B2592" s="2" t="s">
        <v>1054</v>
      </c>
      <c r="C2592" s="5" t="s">
        <v>3954</v>
      </c>
      <c r="D2592" s="2" t="s">
        <v>3955</v>
      </c>
    </row>
    <row r="2593" spans="1:4" ht="13.05" customHeight="1" x14ac:dyDescent="0.3">
      <c r="A2593" s="2" t="s">
        <v>432</v>
      </c>
      <c r="B2593" s="2" t="s">
        <v>1054</v>
      </c>
      <c r="C2593" s="5" t="s">
        <v>3956</v>
      </c>
      <c r="D2593" s="2" t="s">
        <v>3957</v>
      </c>
    </row>
    <row r="2594" spans="1:4" ht="13.05" customHeight="1" x14ac:dyDescent="0.3">
      <c r="A2594" s="2" t="s">
        <v>432</v>
      </c>
      <c r="B2594" s="2" t="s">
        <v>1054</v>
      </c>
      <c r="C2594" s="5" t="s">
        <v>3958</v>
      </c>
      <c r="D2594" s="2" t="s">
        <v>3959</v>
      </c>
    </row>
    <row r="2595" spans="1:4" ht="13.05" customHeight="1" x14ac:dyDescent="0.3">
      <c r="A2595" s="2" t="s">
        <v>432</v>
      </c>
      <c r="B2595" s="2" t="s">
        <v>1054</v>
      </c>
      <c r="C2595" s="5" t="s">
        <v>3960</v>
      </c>
      <c r="D2595" s="2" t="s">
        <v>3961</v>
      </c>
    </row>
    <row r="2596" spans="1:4" ht="13.05" customHeight="1" x14ac:dyDescent="0.3">
      <c r="A2596" s="2" t="s">
        <v>432</v>
      </c>
      <c r="B2596" s="2" t="s">
        <v>1054</v>
      </c>
      <c r="C2596" s="5" t="s">
        <v>3962</v>
      </c>
      <c r="D2596" s="2" t="s">
        <v>3365</v>
      </c>
    </row>
    <row r="2597" spans="1:4" ht="13.05" customHeight="1" x14ac:dyDescent="0.3">
      <c r="A2597" s="2" t="s">
        <v>432</v>
      </c>
      <c r="B2597" s="2" t="s">
        <v>1054</v>
      </c>
      <c r="C2597" s="5" t="s">
        <v>3963</v>
      </c>
      <c r="D2597" s="2" t="s">
        <v>3367</v>
      </c>
    </row>
    <row r="2598" spans="1:4" ht="13.05" customHeight="1" x14ac:dyDescent="0.3">
      <c r="A2598" s="2" t="s">
        <v>432</v>
      </c>
      <c r="B2598" s="2" t="s">
        <v>1054</v>
      </c>
      <c r="C2598" s="5" t="s">
        <v>3964</v>
      </c>
      <c r="D2598" s="2" t="s">
        <v>3965</v>
      </c>
    </row>
    <row r="2599" spans="1:4" ht="13.05" customHeight="1" x14ac:dyDescent="0.3">
      <c r="A2599" s="2" t="s">
        <v>432</v>
      </c>
      <c r="B2599" s="2" t="s">
        <v>1054</v>
      </c>
      <c r="C2599" s="5" t="s">
        <v>3966</v>
      </c>
      <c r="D2599" s="2" t="s">
        <v>3967</v>
      </c>
    </row>
    <row r="2600" spans="1:4" ht="13.05" customHeight="1" x14ac:dyDescent="0.3">
      <c r="A2600" s="2" t="s">
        <v>432</v>
      </c>
      <c r="B2600" s="2" t="s">
        <v>1054</v>
      </c>
      <c r="C2600" s="5" t="s">
        <v>3968</v>
      </c>
      <c r="D2600" s="2" t="s">
        <v>3969</v>
      </c>
    </row>
    <row r="2601" spans="1:4" ht="13.05" customHeight="1" x14ac:dyDescent="0.3">
      <c r="A2601" s="2" t="s">
        <v>432</v>
      </c>
      <c r="B2601" s="2" t="s">
        <v>1054</v>
      </c>
      <c r="C2601" s="5" t="s">
        <v>3970</v>
      </c>
      <c r="D2601" s="2" t="s">
        <v>3971</v>
      </c>
    </row>
    <row r="2602" spans="1:4" ht="13.05" customHeight="1" x14ac:dyDescent="0.3">
      <c r="A2602" s="2" t="s">
        <v>432</v>
      </c>
      <c r="B2602" s="2" t="s">
        <v>1054</v>
      </c>
      <c r="C2602" s="5" t="s">
        <v>3972</v>
      </c>
      <c r="D2602" s="2" t="s">
        <v>3973</v>
      </c>
    </row>
    <row r="2603" spans="1:4" ht="13.05" customHeight="1" x14ac:dyDescent="0.3">
      <c r="A2603" s="2" t="s">
        <v>432</v>
      </c>
      <c r="B2603" s="2" t="s">
        <v>1054</v>
      </c>
      <c r="C2603" s="5" t="s">
        <v>3974</v>
      </c>
      <c r="D2603" s="2" t="s">
        <v>3975</v>
      </c>
    </row>
    <row r="2604" spans="1:4" ht="13.05" customHeight="1" x14ac:dyDescent="0.3">
      <c r="A2604" s="2" t="s">
        <v>432</v>
      </c>
      <c r="B2604" s="2" t="s">
        <v>1054</v>
      </c>
      <c r="C2604" s="5" t="s">
        <v>3976</v>
      </c>
      <c r="D2604" s="2" t="s">
        <v>3977</v>
      </c>
    </row>
    <row r="2605" spans="1:4" ht="13.05" customHeight="1" x14ac:dyDescent="0.3">
      <c r="A2605" s="2" t="s">
        <v>432</v>
      </c>
      <c r="B2605" s="2" t="s">
        <v>1054</v>
      </c>
      <c r="C2605" s="5" t="s">
        <v>3978</v>
      </c>
      <c r="D2605" s="2" t="s">
        <v>3979</v>
      </c>
    </row>
    <row r="2606" spans="1:4" ht="13.05" customHeight="1" x14ac:dyDescent="0.3">
      <c r="A2606" s="2" t="s">
        <v>432</v>
      </c>
      <c r="B2606" s="2" t="s">
        <v>1054</v>
      </c>
      <c r="C2606" s="5" t="s">
        <v>3980</v>
      </c>
      <c r="D2606" s="2" t="s">
        <v>3981</v>
      </c>
    </row>
    <row r="2607" spans="1:4" ht="13.05" customHeight="1" x14ac:dyDescent="0.3">
      <c r="A2607" s="2" t="s">
        <v>432</v>
      </c>
      <c r="B2607" s="2" t="s">
        <v>1054</v>
      </c>
      <c r="C2607" s="5" t="s">
        <v>3982</v>
      </c>
      <c r="D2607" s="2" t="s">
        <v>3983</v>
      </c>
    </row>
    <row r="2608" spans="1:4" ht="13.05" customHeight="1" x14ac:dyDescent="0.3">
      <c r="A2608" s="2" t="s">
        <v>432</v>
      </c>
      <c r="B2608" s="2" t="s">
        <v>1054</v>
      </c>
      <c r="C2608" s="5" t="s">
        <v>3984</v>
      </c>
      <c r="D2608" s="2" t="s">
        <v>3985</v>
      </c>
    </row>
    <row r="2609" spans="1:4" ht="13.05" customHeight="1" x14ac:dyDescent="0.3">
      <c r="A2609" s="2" t="s">
        <v>432</v>
      </c>
      <c r="B2609" s="2" t="s">
        <v>1054</v>
      </c>
      <c r="C2609" s="5" t="s">
        <v>3986</v>
      </c>
      <c r="D2609" s="2" t="s">
        <v>3987</v>
      </c>
    </row>
    <row r="2610" spans="1:4" ht="13.05" customHeight="1" x14ac:dyDescent="0.3">
      <c r="A2610" s="2" t="s">
        <v>432</v>
      </c>
      <c r="B2610" s="2" t="s">
        <v>1054</v>
      </c>
      <c r="C2610" s="5" t="s">
        <v>3988</v>
      </c>
      <c r="D2610" s="2" t="s">
        <v>3989</v>
      </c>
    </row>
    <row r="2611" spans="1:4" ht="13.05" customHeight="1" x14ac:dyDescent="0.3">
      <c r="A2611" s="2" t="s">
        <v>432</v>
      </c>
      <c r="B2611" s="2" t="s">
        <v>1054</v>
      </c>
      <c r="C2611" s="5" t="s">
        <v>3990</v>
      </c>
      <c r="D2611" s="2" t="s">
        <v>3991</v>
      </c>
    </row>
    <row r="2612" spans="1:4" ht="13.05" customHeight="1" x14ac:dyDescent="0.3">
      <c r="A2612" s="2" t="s">
        <v>432</v>
      </c>
      <c r="B2612" s="2" t="s">
        <v>1054</v>
      </c>
      <c r="C2612" s="5" t="s">
        <v>3992</v>
      </c>
      <c r="D2612" s="2" t="s">
        <v>3993</v>
      </c>
    </row>
    <row r="2613" spans="1:4" ht="13.05" customHeight="1" x14ac:dyDescent="0.3">
      <c r="A2613" s="2" t="s">
        <v>432</v>
      </c>
      <c r="B2613" s="2" t="s">
        <v>1054</v>
      </c>
      <c r="C2613" s="5" t="s">
        <v>3994</v>
      </c>
      <c r="D2613" s="2" t="s">
        <v>3995</v>
      </c>
    </row>
    <row r="2614" spans="1:4" ht="13.05" customHeight="1" x14ac:dyDescent="0.3">
      <c r="A2614" s="2" t="s">
        <v>432</v>
      </c>
      <c r="B2614" s="2" t="s">
        <v>1054</v>
      </c>
      <c r="C2614" s="5" t="s">
        <v>1702</v>
      </c>
      <c r="D2614" s="2" t="s">
        <v>3996</v>
      </c>
    </row>
    <row r="2615" spans="1:4" ht="13.05" customHeight="1" x14ac:dyDescent="0.3">
      <c r="A2615" s="2" t="s">
        <v>432</v>
      </c>
      <c r="B2615" s="2" t="s">
        <v>1054</v>
      </c>
      <c r="C2615" s="5" t="s">
        <v>3997</v>
      </c>
      <c r="D2615" s="2" t="s">
        <v>3998</v>
      </c>
    </row>
    <row r="2616" spans="1:4" ht="13.05" customHeight="1" x14ac:dyDescent="0.3">
      <c r="A2616" s="2" t="s">
        <v>432</v>
      </c>
      <c r="B2616" s="2" t="s">
        <v>1054</v>
      </c>
      <c r="C2616" s="5" t="s">
        <v>3999</v>
      </c>
      <c r="D2616" s="2" t="s">
        <v>4000</v>
      </c>
    </row>
    <row r="2617" spans="1:4" ht="13.05" customHeight="1" x14ac:dyDescent="0.3">
      <c r="A2617" s="2" t="s">
        <v>432</v>
      </c>
      <c r="B2617" s="2" t="s">
        <v>1054</v>
      </c>
      <c r="C2617" s="5" t="s">
        <v>4001</v>
      </c>
      <c r="D2617" s="2" t="s">
        <v>4002</v>
      </c>
    </row>
    <row r="2618" spans="1:4" ht="13.05" customHeight="1" x14ac:dyDescent="0.3">
      <c r="A2618" s="2" t="s">
        <v>432</v>
      </c>
      <c r="B2618" s="2" t="s">
        <v>1054</v>
      </c>
      <c r="C2618" s="5" t="s">
        <v>4003</v>
      </c>
      <c r="D2618" s="2" t="s">
        <v>4004</v>
      </c>
    </row>
    <row r="2619" spans="1:4" ht="13.05" customHeight="1" x14ac:dyDescent="0.3">
      <c r="A2619" s="2" t="s">
        <v>432</v>
      </c>
      <c r="B2619" s="2" t="s">
        <v>1054</v>
      </c>
      <c r="C2619" s="5" t="s">
        <v>4005</v>
      </c>
      <c r="D2619" s="2" t="s">
        <v>4006</v>
      </c>
    </row>
    <row r="2620" spans="1:4" ht="13.05" customHeight="1" x14ac:dyDescent="0.3">
      <c r="A2620" s="2" t="s">
        <v>432</v>
      </c>
      <c r="B2620" s="2" t="s">
        <v>1054</v>
      </c>
      <c r="C2620" s="5" t="s">
        <v>4007</v>
      </c>
      <c r="D2620" s="2" t="s">
        <v>4008</v>
      </c>
    </row>
    <row r="2621" spans="1:4" ht="13.05" customHeight="1" x14ac:dyDescent="0.3">
      <c r="A2621" s="2" t="s">
        <v>432</v>
      </c>
      <c r="B2621" s="2" t="s">
        <v>1054</v>
      </c>
      <c r="C2621" s="5" t="s">
        <v>4009</v>
      </c>
      <c r="D2621" s="2" t="s">
        <v>4010</v>
      </c>
    </row>
    <row r="2622" spans="1:4" ht="13.05" customHeight="1" x14ac:dyDescent="0.3">
      <c r="A2622" s="2" t="s">
        <v>432</v>
      </c>
      <c r="B2622" s="2" t="s">
        <v>1054</v>
      </c>
      <c r="C2622" s="5" t="s">
        <v>4011</v>
      </c>
      <c r="D2622" s="2" t="s">
        <v>4012</v>
      </c>
    </row>
    <row r="2623" spans="1:4" ht="13.05" customHeight="1" x14ac:dyDescent="0.3">
      <c r="A2623" s="2" t="s">
        <v>432</v>
      </c>
      <c r="B2623" s="2" t="s">
        <v>1054</v>
      </c>
      <c r="C2623" s="5" t="s">
        <v>4013</v>
      </c>
      <c r="D2623" s="2" t="s">
        <v>4014</v>
      </c>
    </row>
    <row r="2624" spans="1:4" ht="13.05" customHeight="1" x14ac:dyDescent="0.3">
      <c r="A2624" s="2" t="s">
        <v>432</v>
      </c>
      <c r="B2624" s="2" t="s">
        <v>1054</v>
      </c>
      <c r="C2624" s="5" t="s">
        <v>4015</v>
      </c>
      <c r="D2624" s="2" t="s">
        <v>4016</v>
      </c>
    </row>
    <row r="2625" spans="1:4" ht="13.05" customHeight="1" x14ac:dyDescent="0.3">
      <c r="A2625" s="2" t="s">
        <v>432</v>
      </c>
      <c r="B2625" s="2" t="s">
        <v>1054</v>
      </c>
      <c r="C2625" s="5" t="s">
        <v>4017</v>
      </c>
      <c r="D2625" s="2" t="s">
        <v>4018</v>
      </c>
    </row>
    <row r="2626" spans="1:4" ht="13.05" customHeight="1" x14ac:dyDescent="0.3">
      <c r="A2626" s="2" t="s">
        <v>432</v>
      </c>
      <c r="B2626" s="2" t="s">
        <v>1054</v>
      </c>
      <c r="C2626" s="5" t="s">
        <v>4019</v>
      </c>
      <c r="D2626" s="2" t="s">
        <v>4020</v>
      </c>
    </row>
    <row r="2627" spans="1:4" ht="13.05" customHeight="1" x14ac:dyDescent="0.3">
      <c r="A2627" s="2" t="s">
        <v>432</v>
      </c>
      <c r="B2627" s="2" t="s">
        <v>1054</v>
      </c>
      <c r="C2627" s="5" t="s">
        <v>4021</v>
      </c>
      <c r="D2627" s="2" t="s">
        <v>4022</v>
      </c>
    </row>
    <row r="2628" spans="1:4" ht="13.05" customHeight="1" x14ac:dyDescent="0.3">
      <c r="A2628" s="2" t="s">
        <v>432</v>
      </c>
      <c r="B2628" s="2" t="s">
        <v>1054</v>
      </c>
      <c r="C2628" s="5" t="s">
        <v>4023</v>
      </c>
      <c r="D2628" s="2" t="s">
        <v>4024</v>
      </c>
    </row>
    <row r="2629" spans="1:4" ht="13.05" customHeight="1" x14ac:dyDescent="0.3">
      <c r="A2629" s="2" t="s">
        <v>432</v>
      </c>
      <c r="B2629" s="2" t="s">
        <v>1054</v>
      </c>
      <c r="C2629" s="5" t="s">
        <v>4025</v>
      </c>
      <c r="D2629" s="2" t="s">
        <v>4026</v>
      </c>
    </row>
    <row r="2630" spans="1:4" ht="13.05" customHeight="1" x14ac:dyDescent="0.3">
      <c r="A2630" s="2" t="s">
        <v>432</v>
      </c>
      <c r="B2630" s="2" t="s">
        <v>1054</v>
      </c>
      <c r="C2630" s="5" t="s">
        <v>4027</v>
      </c>
      <c r="D2630" s="2" t="s">
        <v>4028</v>
      </c>
    </row>
    <row r="2631" spans="1:4" ht="13.05" customHeight="1" x14ac:dyDescent="0.3">
      <c r="A2631" s="2" t="s">
        <v>432</v>
      </c>
      <c r="B2631" s="2" t="s">
        <v>1054</v>
      </c>
      <c r="C2631" s="5" t="s">
        <v>4029</v>
      </c>
      <c r="D2631" s="2" t="s">
        <v>4030</v>
      </c>
    </row>
    <row r="2632" spans="1:4" ht="13.05" customHeight="1" x14ac:dyDescent="0.3">
      <c r="A2632" s="2" t="s">
        <v>432</v>
      </c>
      <c r="B2632" s="2" t="s">
        <v>1054</v>
      </c>
      <c r="C2632" s="5" t="s">
        <v>4031</v>
      </c>
      <c r="D2632" s="2" t="s">
        <v>4032</v>
      </c>
    </row>
    <row r="2633" spans="1:4" ht="13.05" customHeight="1" x14ac:dyDescent="0.3">
      <c r="A2633" s="2" t="s">
        <v>432</v>
      </c>
      <c r="B2633" s="2" t="s">
        <v>1054</v>
      </c>
      <c r="C2633" s="5" t="s">
        <v>4033</v>
      </c>
      <c r="D2633" s="2" t="s">
        <v>3333</v>
      </c>
    </row>
    <row r="2634" spans="1:4" ht="13.05" customHeight="1" x14ac:dyDescent="0.3">
      <c r="A2634" s="2" t="s">
        <v>432</v>
      </c>
      <c r="B2634" s="2" t="s">
        <v>1054</v>
      </c>
      <c r="C2634" s="5" t="s">
        <v>4034</v>
      </c>
      <c r="D2634" s="2" t="s">
        <v>3447</v>
      </c>
    </row>
    <row r="2635" spans="1:4" ht="13.05" customHeight="1" x14ac:dyDescent="0.3">
      <c r="A2635" s="2" t="s">
        <v>432</v>
      </c>
      <c r="B2635" s="2" t="s">
        <v>1054</v>
      </c>
      <c r="C2635" s="5" t="s">
        <v>4035</v>
      </c>
      <c r="D2635" s="2" t="s">
        <v>4036</v>
      </c>
    </row>
    <row r="2636" spans="1:4" ht="13.05" customHeight="1" x14ac:dyDescent="0.3">
      <c r="A2636" s="2" t="s">
        <v>432</v>
      </c>
      <c r="B2636" s="2" t="s">
        <v>1054</v>
      </c>
      <c r="C2636" s="5" t="s">
        <v>4037</v>
      </c>
      <c r="D2636" s="2" t="s">
        <v>4038</v>
      </c>
    </row>
    <row r="2637" spans="1:4" ht="13.05" customHeight="1" x14ac:dyDescent="0.3">
      <c r="A2637" s="2" t="s">
        <v>432</v>
      </c>
      <c r="B2637" s="2" t="s">
        <v>1054</v>
      </c>
      <c r="C2637" s="5" t="s">
        <v>4039</v>
      </c>
      <c r="D2637" s="2" t="s">
        <v>4040</v>
      </c>
    </row>
    <row r="2638" spans="1:4" ht="13.05" customHeight="1" x14ac:dyDescent="0.3">
      <c r="A2638" s="2" t="s">
        <v>432</v>
      </c>
      <c r="B2638" s="2" t="s">
        <v>1054</v>
      </c>
      <c r="C2638" s="5" t="s">
        <v>4041</v>
      </c>
      <c r="D2638" s="2" t="s">
        <v>4042</v>
      </c>
    </row>
    <row r="2639" spans="1:4" ht="13.05" customHeight="1" x14ac:dyDescent="0.3">
      <c r="A2639" s="2" t="s">
        <v>432</v>
      </c>
      <c r="B2639" s="2" t="s">
        <v>1054</v>
      </c>
      <c r="C2639" s="5" t="s">
        <v>4043</v>
      </c>
      <c r="D2639" s="2" t="s">
        <v>4044</v>
      </c>
    </row>
    <row r="2640" spans="1:4" ht="13.05" customHeight="1" x14ac:dyDescent="0.3">
      <c r="A2640" s="2" t="s">
        <v>432</v>
      </c>
      <c r="B2640" s="2" t="s">
        <v>1054</v>
      </c>
      <c r="C2640" s="5" t="s">
        <v>4045</v>
      </c>
      <c r="D2640" s="2" t="s">
        <v>4046</v>
      </c>
    </row>
    <row r="2641" spans="1:4" ht="13.05" customHeight="1" x14ac:dyDescent="0.3">
      <c r="A2641" s="2" t="s">
        <v>432</v>
      </c>
      <c r="B2641" s="2" t="s">
        <v>1054</v>
      </c>
      <c r="C2641" s="5" t="s">
        <v>4047</v>
      </c>
      <c r="D2641" s="2" t="s">
        <v>4048</v>
      </c>
    </row>
    <row r="2642" spans="1:4" ht="13.05" customHeight="1" x14ac:dyDescent="0.3">
      <c r="A2642" s="2" t="s">
        <v>432</v>
      </c>
      <c r="B2642" s="2" t="s">
        <v>1054</v>
      </c>
      <c r="C2642" s="5" t="s">
        <v>4049</v>
      </c>
      <c r="D2642" s="2" t="s">
        <v>4050</v>
      </c>
    </row>
    <row r="2643" spans="1:4" ht="13.05" customHeight="1" x14ac:dyDescent="0.3">
      <c r="A2643" s="2" t="s">
        <v>432</v>
      </c>
      <c r="B2643" s="2" t="s">
        <v>1054</v>
      </c>
      <c r="C2643" s="5" t="s">
        <v>4051</v>
      </c>
      <c r="D2643" s="2" t="s">
        <v>4052</v>
      </c>
    </row>
    <row r="2644" spans="1:4" ht="13.05" customHeight="1" x14ac:dyDescent="0.3">
      <c r="A2644" s="2" t="s">
        <v>432</v>
      </c>
      <c r="B2644" s="2" t="s">
        <v>1054</v>
      </c>
      <c r="C2644" s="5" t="s">
        <v>4053</v>
      </c>
      <c r="D2644" s="2" t="s">
        <v>4054</v>
      </c>
    </row>
    <row r="2645" spans="1:4" ht="13.05" customHeight="1" x14ac:dyDescent="0.3">
      <c r="A2645" s="2" t="s">
        <v>432</v>
      </c>
      <c r="B2645" s="2" t="s">
        <v>1054</v>
      </c>
      <c r="C2645" s="5" t="s">
        <v>4055</v>
      </c>
      <c r="D2645" s="2" t="s">
        <v>4056</v>
      </c>
    </row>
    <row r="2646" spans="1:4" ht="13.05" customHeight="1" x14ac:dyDescent="0.3">
      <c r="A2646" s="2" t="s">
        <v>432</v>
      </c>
      <c r="B2646" s="2" t="s">
        <v>1054</v>
      </c>
      <c r="C2646" s="5" t="s">
        <v>4057</v>
      </c>
      <c r="D2646" s="2" t="s">
        <v>4058</v>
      </c>
    </row>
    <row r="2647" spans="1:4" ht="13.05" customHeight="1" x14ac:dyDescent="0.3">
      <c r="A2647" s="2" t="s">
        <v>432</v>
      </c>
      <c r="B2647" s="2" t="s">
        <v>1054</v>
      </c>
      <c r="C2647" s="5" t="s">
        <v>4059</v>
      </c>
      <c r="D2647" s="2" t="s">
        <v>4060</v>
      </c>
    </row>
    <row r="2648" spans="1:4" ht="13.05" customHeight="1" x14ac:dyDescent="0.3">
      <c r="A2648" s="2" t="s">
        <v>432</v>
      </c>
      <c r="B2648" s="2" t="s">
        <v>1054</v>
      </c>
      <c r="C2648" s="5" t="s">
        <v>4061</v>
      </c>
      <c r="D2648" s="2" t="s">
        <v>4062</v>
      </c>
    </row>
    <row r="2649" spans="1:4" ht="13.05" customHeight="1" x14ac:dyDescent="0.3">
      <c r="A2649" s="2" t="s">
        <v>432</v>
      </c>
      <c r="B2649" s="2" t="s">
        <v>1054</v>
      </c>
      <c r="C2649" s="5" t="s">
        <v>4063</v>
      </c>
      <c r="D2649" s="2" t="s">
        <v>4064</v>
      </c>
    </row>
    <row r="2650" spans="1:4" ht="13.05" customHeight="1" x14ac:dyDescent="0.3">
      <c r="A2650" s="2" t="s">
        <v>432</v>
      </c>
      <c r="B2650" s="2" t="s">
        <v>1054</v>
      </c>
      <c r="C2650" s="5" t="s">
        <v>4065</v>
      </c>
      <c r="D2650" s="2" t="s">
        <v>4066</v>
      </c>
    </row>
    <row r="2651" spans="1:4" ht="13.05" customHeight="1" x14ac:dyDescent="0.3">
      <c r="A2651" s="2" t="s">
        <v>432</v>
      </c>
      <c r="B2651" s="2" t="s">
        <v>1054</v>
      </c>
      <c r="C2651" s="5" t="s">
        <v>4067</v>
      </c>
      <c r="D2651" s="2" t="s">
        <v>4068</v>
      </c>
    </row>
    <row r="2652" spans="1:4" ht="13.05" customHeight="1" x14ac:dyDescent="0.3">
      <c r="A2652" s="2" t="s">
        <v>432</v>
      </c>
      <c r="B2652" s="2" t="s">
        <v>1054</v>
      </c>
      <c r="C2652" s="5" t="s">
        <v>4069</v>
      </c>
      <c r="D2652" s="2" t="s">
        <v>4070</v>
      </c>
    </row>
    <row r="2653" spans="1:4" ht="13.05" customHeight="1" x14ac:dyDescent="0.3">
      <c r="A2653" s="2" t="s">
        <v>432</v>
      </c>
      <c r="B2653" s="2" t="s">
        <v>1054</v>
      </c>
      <c r="C2653" s="5" t="s">
        <v>4071</v>
      </c>
      <c r="D2653" s="2" t="s">
        <v>4072</v>
      </c>
    </row>
    <row r="2654" spans="1:4" ht="13.05" customHeight="1" x14ac:dyDescent="0.3">
      <c r="A2654" s="2" t="s">
        <v>432</v>
      </c>
      <c r="B2654" s="2" t="s">
        <v>1054</v>
      </c>
      <c r="C2654" s="5" t="s">
        <v>4073</v>
      </c>
      <c r="D2654" s="2" t="s">
        <v>4074</v>
      </c>
    </row>
    <row r="2655" spans="1:4" ht="13.05" customHeight="1" x14ac:dyDescent="0.3">
      <c r="A2655" s="2" t="s">
        <v>432</v>
      </c>
      <c r="B2655" s="2" t="s">
        <v>1054</v>
      </c>
      <c r="C2655" s="5" t="s">
        <v>4075</v>
      </c>
      <c r="D2655" s="2" t="s">
        <v>3083</v>
      </c>
    </row>
    <row r="2656" spans="1:4" ht="13.05" customHeight="1" x14ac:dyDescent="0.3">
      <c r="A2656" s="2" t="s">
        <v>432</v>
      </c>
      <c r="B2656" s="2" t="s">
        <v>1054</v>
      </c>
      <c r="C2656" s="5" t="s">
        <v>4076</v>
      </c>
      <c r="D2656" s="2" t="s">
        <v>4077</v>
      </c>
    </row>
    <row r="2657" spans="1:4" ht="13.05" customHeight="1" x14ac:dyDescent="0.3">
      <c r="A2657" s="2" t="s">
        <v>432</v>
      </c>
      <c r="B2657" s="2" t="s">
        <v>1054</v>
      </c>
      <c r="C2657" s="5" t="s">
        <v>4078</v>
      </c>
      <c r="D2657" s="2" t="s">
        <v>4079</v>
      </c>
    </row>
    <row r="2658" spans="1:4" ht="13.05" customHeight="1" x14ac:dyDescent="0.3">
      <c r="A2658" s="2" t="s">
        <v>432</v>
      </c>
      <c r="B2658" s="2" t="s">
        <v>1054</v>
      </c>
      <c r="C2658" s="5" t="s">
        <v>4080</v>
      </c>
      <c r="D2658" s="2" t="s">
        <v>3387</v>
      </c>
    </row>
    <row r="2659" spans="1:4" ht="13.05" customHeight="1" x14ac:dyDescent="0.3">
      <c r="A2659" s="2" t="s">
        <v>432</v>
      </c>
      <c r="B2659" s="2" t="s">
        <v>1054</v>
      </c>
      <c r="C2659" s="5" t="s">
        <v>4081</v>
      </c>
      <c r="D2659" s="2" t="s">
        <v>3389</v>
      </c>
    </row>
    <row r="2660" spans="1:4" ht="13.05" customHeight="1" x14ac:dyDescent="0.3">
      <c r="A2660" s="2" t="s">
        <v>432</v>
      </c>
      <c r="B2660" s="2" t="s">
        <v>1054</v>
      </c>
      <c r="C2660" s="5" t="s">
        <v>4082</v>
      </c>
      <c r="D2660" s="2" t="s">
        <v>3564</v>
      </c>
    </row>
    <row r="2661" spans="1:4" ht="13.05" customHeight="1" x14ac:dyDescent="0.3">
      <c r="A2661" s="2" t="s">
        <v>432</v>
      </c>
      <c r="B2661" s="2" t="s">
        <v>1054</v>
      </c>
      <c r="C2661" s="5" t="s">
        <v>4083</v>
      </c>
      <c r="D2661" s="2" t="s">
        <v>3566</v>
      </c>
    </row>
    <row r="2662" spans="1:4" ht="13.05" customHeight="1" x14ac:dyDescent="0.3">
      <c r="A2662" s="2" t="s">
        <v>432</v>
      </c>
      <c r="B2662" s="2" t="s">
        <v>1054</v>
      </c>
      <c r="C2662" s="5" t="s">
        <v>4084</v>
      </c>
      <c r="D2662" s="2" t="s">
        <v>3568</v>
      </c>
    </row>
    <row r="2663" spans="1:4" ht="13.05" customHeight="1" x14ac:dyDescent="0.3">
      <c r="A2663" s="2" t="s">
        <v>432</v>
      </c>
      <c r="B2663" s="2" t="s">
        <v>1054</v>
      </c>
      <c r="C2663" s="5" t="s">
        <v>4085</v>
      </c>
      <c r="D2663" s="2" t="s">
        <v>3570</v>
      </c>
    </row>
    <row r="2664" spans="1:4" ht="13.05" customHeight="1" x14ac:dyDescent="0.3">
      <c r="A2664" s="2" t="s">
        <v>432</v>
      </c>
      <c r="B2664" s="2" t="s">
        <v>1054</v>
      </c>
      <c r="C2664" s="5" t="s">
        <v>4086</v>
      </c>
      <c r="D2664" s="2" t="s">
        <v>3572</v>
      </c>
    </row>
    <row r="2665" spans="1:4" ht="13.05" customHeight="1" x14ac:dyDescent="0.3">
      <c r="A2665" s="2" t="s">
        <v>432</v>
      </c>
      <c r="B2665" s="2" t="s">
        <v>1054</v>
      </c>
      <c r="C2665" s="5" t="s">
        <v>4087</v>
      </c>
      <c r="D2665" s="2" t="s">
        <v>3574</v>
      </c>
    </row>
    <row r="2666" spans="1:4" ht="13.05" customHeight="1" x14ac:dyDescent="0.3">
      <c r="A2666" s="2" t="s">
        <v>432</v>
      </c>
      <c r="B2666" s="2" t="s">
        <v>1054</v>
      </c>
      <c r="C2666" s="5" t="s">
        <v>4088</v>
      </c>
      <c r="D2666" s="2" t="s">
        <v>3765</v>
      </c>
    </row>
    <row r="2667" spans="1:4" ht="13.05" customHeight="1" x14ac:dyDescent="0.3">
      <c r="A2667" s="2" t="s">
        <v>432</v>
      </c>
      <c r="B2667" s="2" t="s">
        <v>1054</v>
      </c>
      <c r="C2667" s="5" t="s">
        <v>4089</v>
      </c>
      <c r="D2667" s="2" t="s">
        <v>3578</v>
      </c>
    </row>
    <row r="2668" spans="1:4" ht="13.05" customHeight="1" x14ac:dyDescent="0.3">
      <c r="A2668" s="2" t="s">
        <v>432</v>
      </c>
      <c r="B2668" s="2" t="s">
        <v>1054</v>
      </c>
      <c r="C2668" s="5" t="s">
        <v>4090</v>
      </c>
      <c r="D2668" s="2" t="s">
        <v>3393</v>
      </c>
    </row>
    <row r="2669" spans="1:4" ht="13.05" customHeight="1" x14ac:dyDescent="0.3">
      <c r="A2669" s="2" t="s">
        <v>432</v>
      </c>
      <c r="B2669" s="2" t="s">
        <v>1054</v>
      </c>
      <c r="C2669" s="5" t="s">
        <v>4091</v>
      </c>
      <c r="D2669" s="2" t="s">
        <v>3581</v>
      </c>
    </row>
    <row r="2670" spans="1:4" ht="13.05" customHeight="1" x14ac:dyDescent="0.3">
      <c r="A2670" s="2" t="s">
        <v>432</v>
      </c>
      <c r="B2670" s="2" t="s">
        <v>1054</v>
      </c>
      <c r="C2670" s="5" t="s">
        <v>4092</v>
      </c>
      <c r="D2670" s="2" t="s">
        <v>3770</v>
      </c>
    </row>
    <row r="2671" spans="1:4" ht="13.05" customHeight="1" x14ac:dyDescent="0.3">
      <c r="A2671" s="2" t="s">
        <v>432</v>
      </c>
      <c r="B2671" s="2" t="s">
        <v>1054</v>
      </c>
      <c r="C2671" s="5" t="s">
        <v>4093</v>
      </c>
      <c r="D2671" s="2" t="s">
        <v>3584</v>
      </c>
    </row>
    <row r="2672" spans="1:4" ht="13.05" customHeight="1" x14ac:dyDescent="0.3">
      <c r="A2672" s="2" t="s">
        <v>432</v>
      </c>
      <c r="B2672" s="2" t="s">
        <v>1054</v>
      </c>
      <c r="C2672" s="5" t="s">
        <v>4094</v>
      </c>
      <c r="D2672" s="2" t="s">
        <v>3586</v>
      </c>
    </row>
    <row r="2673" spans="1:4" ht="13.05" customHeight="1" x14ac:dyDescent="0.3">
      <c r="A2673" s="2" t="s">
        <v>432</v>
      </c>
      <c r="B2673" s="2" t="s">
        <v>1054</v>
      </c>
      <c r="C2673" s="5" t="s">
        <v>4095</v>
      </c>
      <c r="D2673" s="2" t="s">
        <v>4096</v>
      </c>
    </row>
    <row r="2674" spans="1:4" ht="13.05" customHeight="1" x14ac:dyDescent="0.3">
      <c r="A2674" s="2" t="s">
        <v>432</v>
      </c>
      <c r="B2674" s="2" t="s">
        <v>1054</v>
      </c>
      <c r="C2674" s="5" t="s">
        <v>4097</v>
      </c>
      <c r="D2674" s="2" t="s">
        <v>4098</v>
      </c>
    </row>
    <row r="2675" spans="1:4" ht="13.05" customHeight="1" x14ac:dyDescent="0.3">
      <c r="A2675" s="2" t="s">
        <v>432</v>
      </c>
      <c r="B2675" s="2" t="s">
        <v>1054</v>
      </c>
      <c r="C2675" s="5" t="s">
        <v>4099</v>
      </c>
      <c r="D2675" s="2" t="s">
        <v>4100</v>
      </c>
    </row>
    <row r="2676" spans="1:4" ht="13.05" customHeight="1" x14ac:dyDescent="0.3">
      <c r="A2676" s="2" t="s">
        <v>432</v>
      </c>
      <c r="B2676" s="2" t="s">
        <v>1054</v>
      </c>
      <c r="C2676" s="5" t="s">
        <v>4101</v>
      </c>
      <c r="D2676" s="2" t="s">
        <v>4102</v>
      </c>
    </row>
    <row r="2677" spans="1:4" ht="13.05" customHeight="1" x14ac:dyDescent="0.3">
      <c r="A2677" s="2" t="s">
        <v>432</v>
      </c>
      <c r="B2677" s="2" t="s">
        <v>1054</v>
      </c>
      <c r="C2677" s="5" t="s">
        <v>4103</v>
      </c>
      <c r="D2677" s="2" t="s">
        <v>4104</v>
      </c>
    </row>
    <row r="2678" spans="1:4" ht="13.05" customHeight="1" x14ac:dyDescent="0.3">
      <c r="A2678" s="2" t="s">
        <v>432</v>
      </c>
      <c r="B2678" s="2" t="s">
        <v>1054</v>
      </c>
      <c r="C2678" s="5" t="s">
        <v>4105</v>
      </c>
      <c r="D2678" s="2" t="s">
        <v>3927</v>
      </c>
    </row>
    <row r="2679" spans="1:4" ht="13.05" customHeight="1" x14ac:dyDescent="0.3">
      <c r="A2679" s="2" t="s">
        <v>432</v>
      </c>
      <c r="B2679" s="2" t="s">
        <v>1054</v>
      </c>
      <c r="C2679" s="5" t="s">
        <v>4106</v>
      </c>
      <c r="D2679" s="2" t="s">
        <v>4107</v>
      </c>
    </row>
    <row r="2680" spans="1:4" ht="13.05" customHeight="1" x14ac:dyDescent="0.3">
      <c r="A2680" s="2" t="s">
        <v>432</v>
      </c>
      <c r="B2680" s="2" t="s">
        <v>1054</v>
      </c>
      <c r="C2680" s="5" t="s">
        <v>4108</v>
      </c>
      <c r="D2680" s="2" t="s">
        <v>4109</v>
      </c>
    </row>
    <row r="2681" spans="1:4" ht="13.05" customHeight="1" x14ac:dyDescent="0.3">
      <c r="A2681" s="2" t="s">
        <v>432</v>
      </c>
      <c r="B2681" s="2" t="s">
        <v>1054</v>
      </c>
      <c r="C2681" s="5" t="s">
        <v>4110</v>
      </c>
      <c r="D2681" s="2" t="s">
        <v>4111</v>
      </c>
    </row>
    <row r="2682" spans="1:4" ht="13.05" customHeight="1" x14ac:dyDescent="0.3">
      <c r="A2682" s="2" t="s">
        <v>432</v>
      </c>
      <c r="B2682" s="2" t="s">
        <v>1054</v>
      </c>
      <c r="C2682" s="5" t="s">
        <v>4112</v>
      </c>
      <c r="D2682" s="2" t="s">
        <v>4113</v>
      </c>
    </row>
    <row r="2683" spans="1:4" ht="13.05" customHeight="1" x14ac:dyDescent="0.3">
      <c r="A2683" s="2" t="s">
        <v>432</v>
      </c>
      <c r="B2683" s="2" t="s">
        <v>1054</v>
      </c>
      <c r="C2683" s="5" t="s">
        <v>4114</v>
      </c>
      <c r="D2683" s="2" t="s">
        <v>4115</v>
      </c>
    </row>
    <row r="2684" spans="1:4" ht="13.05" customHeight="1" x14ac:dyDescent="0.3">
      <c r="A2684" s="2" t="s">
        <v>432</v>
      </c>
      <c r="B2684" s="2" t="s">
        <v>1054</v>
      </c>
      <c r="C2684" s="5" t="s">
        <v>1748</v>
      </c>
      <c r="D2684" s="2" t="s">
        <v>4116</v>
      </c>
    </row>
    <row r="2685" spans="1:4" ht="13.05" customHeight="1" x14ac:dyDescent="0.3">
      <c r="A2685" s="2" t="s">
        <v>432</v>
      </c>
      <c r="B2685" s="2" t="s">
        <v>1054</v>
      </c>
      <c r="C2685" s="5" t="s">
        <v>4117</v>
      </c>
      <c r="D2685" s="2" t="s">
        <v>4118</v>
      </c>
    </row>
    <row r="2686" spans="1:4" ht="13.05" customHeight="1" x14ac:dyDescent="0.3">
      <c r="A2686" s="2" t="s">
        <v>432</v>
      </c>
      <c r="B2686" s="2" t="s">
        <v>1054</v>
      </c>
      <c r="C2686" s="5" t="s">
        <v>4119</v>
      </c>
      <c r="D2686" s="2" t="s">
        <v>4120</v>
      </c>
    </row>
    <row r="2687" spans="1:4" ht="13.05" customHeight="1" x14ac:dyDescent="0.3">
      <c r="A2687" s="2" t="s">
        <v>432</v>
      </c>
      <c r="B2687" s="2" t="s">
        <v>1054</v>
      </c>
      <c r="C2687" s="5" t="s">
        <v>4121</v>
      </c>
      <c r="D2687" s="2" t="s">
        <v>4122</v>
      </c>
    </row>
    <row r="2688" spans="1:4" ht="13.05" customHeight="1" x14ac:dyDescent="0.3">
      <c r="A2688" s="2" t="s">
        <v>432</v>
      </c>
      <c r="B2688" s="2" t="s">
        <v>1054</v>
      </c>
      <c r="C2688" s="5" t="s">
        <v>4123</v>
      </c>
      <c r="D2688" s="2" t="s">
        <v>3445</v>
      </c>
    </row>
    <row r="2689" spans="1:4" ht="13.05" customHeight="1" x14ac:dyDescent="0.3">
      <c r="A2689" s="2" t="s">
        <v>432</v>
      </c>
      <c r="B2689" s="2" t="s">
        <v>1054</v>
      </c>
      <c r="C2689" s="5" t="s">
        <v>4124</v>
      </c>
      <c r="D2689" s="2" t="s">
        <v>3447</v>
      </c>
    </row>
    <row r="2690" spans="1:4" ht="13.05" customHeight="1" x14ac:dyDescent="0.3">
      <c r="A2690" s="2" t="s">
        <v>432</v>
      </c>
      <c r="B2690" s="2" t="s">
        <v>1054</v>
      </c>
      <c r="C2690" s="5" t="s">
        <v>4125</v>
      </c>
      <c r="D2690" s="2" t="s">
        <v>4126</v>
      </c>
    </row>
    <row r="2691" spans="1:4" ht="13.05" customHeight="1" x14ac:dyDescent="0.3">
      <c r="A2691" s="2" t="s">
        <v>432</v>
      </c>
      <c r="B2691" s="2" t="s">
        <v>1054</v>
      </c>
      <c r="C2691" s="5" t="s">
        <v>4127</v>
      </c>
      <c r="D2691" s="2" t="s">
        <v>4128</v>
      </c>
    </row>
    <row r="2692" spans="1:4" ht="13.05" customHeight="1" x14ac:dyDescent="0.3">
      <c r="A2692" s="2" t="s">
        <v>432</v>
      </c>
      <c r="B2692" s="2" t="s">
        <v>1054</v>
      </c>
      <c r="C2692" s="5" t="s">
        <v>4129</v>
      </c>
      <c r="D2692" s="2" t="s">
        <v>3367</v>
      </c>
    </row>
    <row r="2693" spans="1:4" ht="13.05" customHeight="1" x14ac:dyDescent="0.3">
      <c r="A2693" s="2" t="s">
        <v>432</v>
      </c>
      <c r="B2693" s="2" t="s">
        <v>1054</v>
      </c>
      <c r="C2693" s="5" t="s">
        <v>4130</v>
      </c>
      <c r="D2693" s="2" t="s">
        <v>4131</v>
      </c>
    </row>
    <row r="2694" spans="1:4" ht="13.05" customHeight="1" x14ac:dyDescent="0.3">
      <c r="A2694" s="2" t="s">
        <v>432</v>
      </c>
      <c r="B2694" s="2" t="s">
        <v>1054</v>
      </c>
      <c r="C2694" s="5" t="s">
        <v>4132</v>
      </c>
      <c r="D2694" s="2" t="s">
        <v>4133</v>
      </c>
    </row>
    <row r="2695" spans="1:4" ht="13.05" customHeight="1" x14ac:dyDescent="0.3">
      <c r="A2695" s="2" t="s">
        <v>432</v>
      </c>
      <c r="B2695" s="2" t="s">
        <v>1054</v>
      </c>
      <c r="C2695" s="5" t="s">
        <v>4134</v>
      </c>
      <c r="D2695" s="2" t="s">
        <v>4135</v>
      </c>
    </row>
    <row r="2696" spans="1:4" ht="13.05" customHeight="1" x14ac:dyDescent="0.3">
      <c r="A2696" s="2" t="s">
        <v>432</v>
      </c>
      <c r="B2696" s="2" t="s">
        <v>1054</v>
      </c>
      <c r="C2696" s="5" t="s">
        <v>4136</v>
      </c>
      <c r="D2696" s="2" t="s">
        <v>4137</v>
      </c>
    </row>
    <row r="2697" spans="1:4" ht="13.05" customHeight="1" x14ac:dyDescent="0.3">
      <c r="A2697" s="2" t="s">
        <v>432</v>
      </c>
      <c r="B2697" s="2" t="s">
        <v>1054</v>
      </c>
      <c r="C2697" s="5" t="s">
        <v>4138</v>
      </c>
      <c r="D2697" s="2" t="s">
        <v>4139</v>
      </c>
    </row>
    <row r="2698" spans="1:4" ht="13.05" customHeight="1" x14ac:dyDescent="0.3">
      <c r="A2698" s="2" t="s">
        <v>432</v>
      </c>
      <c r="B2698" s="2" t="s">
        <v>1054</v>
      </c>
      <c r="C2698" s="5" t="s">
        <v>4140</v>
      </c>
      <c r="D2698" s="2" t="s">
        <v>4141</v>
      </c>
    </row>
    <row r="2699" spans="1:4" ht="13.05" customHeight="1" x14ac:dyDescent="0.3">
      <c r="A2699" s="2" t="s">
        <v>432</v>
      </c>
      <c r="B2699" s="2" t="s">
        <v>1054</v>
      </c>
      <c r="C2699" s="5" t="s">
        <v>4142</v>
      </c>
      <c r="D2699" s="2" t="s">
        <v>4143</v>
      </c>
    </row>
    <row r="2700" spans="1:4" ht="13.05" customHeight="1" x14ac:dyDescent="0.3">
      <c r="A2700" s="2" t="s">
        <v>432</v>
      </c>
      <c r="B2700" s="2" t="s">
        <v>1054</v>
      </c>
      <c r="C2700" s="5" t="s">
        <v>4144</v>
      </c>
      <c r="D2700" s="2" t="s">
        <v>4145</v>
      </c>
    </row>
    <row r="2701" spans="1:4" ht="13.05" customHeight="1" x14ac:dyDescent="0.3">
      <c r="A2701" s="2" t="s">
        <v>432</v>
      </c>
      <c r="B2701" s="2" t="s">
        <v>1054</v>
      </c>
      <c r="C2701" s="5" t="s">
        <v>4146</v>
      </c>
      <c r="D2701" s="2" t="s">
        <v>4147</v>
      </c>
    </row>
    <row r="2702" spans="1:4" ht="13.05" customHeight="1" x14ac:dyDescent="0.3">
      <c r="A2702" s="2" t="s">
        <v>432</v>
      </c>
      <c r="B2702" s="2" t="s">
        <v>1054</v>
      </c>
      <c r="C2702" s="5" t="s">
        <v>4148</v>
      </c>
      <c r="D2702" s="2" t="s">
        <v>4149</v>
      </c>
    </row>
    <row r="2703" spans="1:4" ht="13.05" customHeight="1" x14ac:dyDescent="0.3">
      <c r="A2703" s="2" t="s">
        <v>432</v>
      </c>
      <c r="B2703" s="2" t="s">
        <v>1054</v>
      </c>
      <c r="C2703" s="5" t="s">
        <v>4150</v>
      </c>
      <c r="D2703" s="2" t="s">
        <v>4151</v>
      </c>
    </row>
    <row r="2704" spans="1:4" ht="13.05" customHeight="1" x14ac:dyDescent="0.3">
      <c r="A2704" s="2" t="s">
        <v>432</v>
      </c>
      <c r="B2704" s="2" t="s">
        <v>1054</v>
      </c>
      <c r="C2704" s="5" t="s">
        <v>4152</v>
      </c>
      <c r="D2704" s="2" t="s">
        <v>4153</v>
      </c>
    </row>
    <row r="2705" spans="1:4" ht="13.05" customHeight="1" x14ac:dyDescent="0.3">
      <c r="A2705" s="2" t="s">
        <v>432</v>
      </c>
      <c r="B2705" s="2" t="s">
        <v>1054</v>
      </c>
      <c r="C2705" s="5" t="s">
        <v>4154</v>
      </c>
      <c r="D2705" s="2" t="s">
        <v>4155</v>
      </c>
    </row>
    <row r="2706" spans="1:4" ht="13.05" customHeight="1" x14ac:dyDescent="0.3">
      <c r="A2706" s="2" t="s">
        <v>432</v>
      </c>
      <c r="B2706" s="2" t="s">
        <v>1054</v>
      </c>
      <c r="C2706" s="5" t="s">
        <v>4156</v>
      </c>
      <c r="D2706" s="2" t="s">
        <v>4157</v>
      </c>
    </row>
    <row r="2707" spans="1:4" ht="13.05" customHeight="1" x14ac:dyDescent="0.3">
      <c r="A2707" s="2" t="s">
        <v>432</v>
      </c>
      <c r="B2707" s="2" t="s">
        <v>1054</v>
      </c>
      <c r="C2707" s="5" t="s">
        <v>4158</v>
      </c>
      <c r="D2707" s="2" t="s">
        <v>4159</v>
      </c>
    </row>
    <row r="2708" spans="1:4" ht="13.05" customHeight="1" x14ac:dyDescent="0.3">
      <c r="A2708" s="2" t="s">
        <v>432</v>
      </c>
      <c r="B2708" s="2" t="s">
        <v>1054</v>
      </c>
      <c r="C2708" s="5" t="s">
        <v>1792</v>
      </c>
      <c r="D2708" s="2" t="s">
        <v>4160</v>
      </c>
    </row>
    <row r="2709" spans="1:4" ht="13.05" customHeight="1" x14ac:dyDescent="0.3">
      <c r="A2709" s="2" t="s">
        <v>432</v>
      </c>
      <c r="B2709" s="2" t="s">
        <v>1054</v>
      </c>
      <c r="C2709" s="5" t="s">
        <v>4161</v>
      </c>
      <c r="D2709" s="2" t="s">
        <v>4162</v>
      </c>
    </row>
    <row r="2710" spans="1:4" ht="13.05" customHeight="1" x14ac:dyDescent="0.3">
      <c r="A2710" s="2" t="s">
        <v>432</v>
      </c>
      <c r="B2710" s="2" t="s">
        <v>1054</v>
      </c>
      <c r="C2710" s="5" t="s">
        <v>4163</v>
      </c>
      <c r="D2710" s="2" t="s">
        <v>4164</v>
      </c>
    </row>
    <row r="2711" spans="1:4" ht="13.05" customHeight="1" x14ac:dyDescent="0.3">
      <c r="A2711" s="2" t="s">
        <v>432</v>
      </c>
      <c r="B2711" s="2" t="s">
        <v>1054</v>
      </c>
      <c r="C2711" s="5" t="s">
        <v>4165</v>
      </c>
      <c r="D2711" s="2" t="s">
        <v>4166</v>
      </c>
    </row>
    <row r="2712" spans="1:4" ht="13.05" customHeight="1" x14ac:dyDescent="0.3">
      <c r="A2712" s="2" t="s">
        <v>432</v>
      </c>
      <c r="B2712" s="2" t="s">
        <v>1054</v>
      </c>
      <c r="C2712" s="5" t="s">
        <v>4167</v>
      </c>
      <c r="D2712" s="2" t="s">
        <v>4168</v>
      </c>
    </row>
    <row r="2713" spans="1:4" ht="13.05" customHeight="1" x14ac:dyDescent="0.3">
      <c r="A2713" s="2" t="s">
        <v>432</v>
      </c>
      <c r="B2713" s="2" t="s">
        <v>1054</v>
      </c>
      <c r="C2713" s="5" t="s">
        <v>4169</v>
      </c>
      <c r="D2713" s="2" t="s">
        <v>4170</v>
      </c>
    </row>
    <row r="2714" spans="1:4" ht="13.05" customHeight="1" x14ac:dyDescent="0.3">
      <c r="A2714" s="2" t="s">
        <v>432</v>
      </c>
      <c r="B2714" s="2" t="s">
        <v>1054</v>
      </c>
      <c r="C2714" s="5" t="s">
        <v>4171</v>
      </c>
      <c r="D2714" s="2" t="s">
        <v>4172</v>
      </c>
    </row>
    <row r="2715" spans="1:4" ht="13.05" customHeight="1" x14ac:dyDescent="0.3">
      <c r="A2715" s="2" t="s">
        <v>432</v>
      </c>
      <c r="B2715" s="2" t="s">
        <v>1054</v>
      </c>
      <c r="C2715" s="5" t="s">
        <v>4173</v>
      </c>
      <c r="D2715" s="2" t="s">
        <v>3333</v>
      </c>
    </row>
    <row r="2716" spans="1:4" ht="13.05" customHeight="1" x14ac:dyDescent="0.3">
      <c r="A2716" s="2" t="s">
        <v>432</v>
      </c>
      <c r="B2716" s="2" t="s">
        <v>1054</v>
      </c>
      <c r="C2716" s="5" t="s">
        <v>4174</v>
      </c>
      <c r="D2716" s="2" t="s">
        <v>3447</v>
      </c>
    </row>
    <row r="2717" spans="1:4" ht="13.05" customHeight="1" x14ac:dyDescent="0.3">
      <c r="A2717" s="2" t="s">
        <v>432</v>
      </c>
      <c r="B2717" s="2" t="s">
        <v>1054</v>
      </c>
      <c r="C2717" s="5" t="s">
        <v>4175</v>
      </c>
      <c r="D2717" s="2" t="s">
        <v>4176</v>
      </c>
    </row>
    <row r="2718" spans="1:4" ht="13.05" customHeight="1" x14ac:dyDescent="0.3">
      <c r="A2718" s="2" t="s">
        <v>432</v>
      </c>
      <c r="B2718" s="2" t="s">
        <v>1054</v>
      </c>
      <c r="C2718" s="5" t="s">
        <v>4177</v>
      </c>
      <c r="D2718" s="2" t="s">
        <v>4178</v>
      </c>
    </row>
    <row r="2719" spans="1:4" ht="13.05" customHeight="1" x14ac:dyDescent="0.3">
      <c r="A2719" s="2" t="s">
        <v>432</v>
      </c>
      <c r="B2719" s="2" t="s">
        <v>1054</v>
      </c>
      <c r="C2719" s="5" t="s">
        <v>4179</v>
      </c>
      <c r="D2719" s="2" t="s">
        <v>4180</v>
      </c>
    </row>
    <row r="2720" spans="1:4" ht="13.05" customHeight="1" x14ac:dyDescent="0.3">
      <c r="A2720" s="2" t="s">
        <v>432</v>
      </c>
      <c r="B2720" s="2" t="s">
        <v>1054</v>
      </c>
      <c r="C2720" s="5" t="s">
        <v>4181</v>
      </c>
      <c r="D2720" s="2" t="s">
        <v>3367</v>
      </c>
    </row>
    <row r="2721" spans="1:4" ht="13.05" customHeight="1" x14ac:dyDescent="0.3">
      <c r="A2721" s="2" t="s">
        <v>432</v>
      </c>
      <c r="B2721" s="2" t="s">
        <v>1054</v>
      </c>
      <c r="C2721" s="5" t="s">
        <v>4182</v>
      </c>
      <c r="D2721" s="2" t="s">
        <v>4183</v>
      </c>
    </row>
    <row r="2722" spans="1:4" ht="13.05" customHeight="1" x14ac:dyDescent="0.3">
      <c r="A2722" s="2" t="s">
        <v>432</v>
      </c>
      <c r="B2722" s="2" t="s">
        <v>1054</v>
      </c>
      <c r="C2722" s="5" t="s">
        <v>4184</v>
      </c>
      <c r="D2722" s="2" t="s">
        <v>4185</v>
      </c>
    </row>
    <row r="2723" spans="1:4" ht="13.05" customHeight="1" x14ac:dyDescent="0.3">
      <c r="A2723" s="2" t="s">
        <v>432</v>
      </c>
      <c r="B2723" s="2" t="s">
        <v>1054</v>
      </c>
      <c r="C2723" s="5" t="s">
        <v>4186</v>
      </c>
      <c r="D2723" s="2" t="s">
        <v>4187</v>
      </c>
    </row>
    <row r="2724" spans="1:4" ht="13.05" customHeight="1" x14ac:dyDescent="0.3">
      <c r="A2724" s="2" t="s">
        <v>432</v>
      </c>
      <c r="B2724" s="2" t="s">
        <v>1054</v>
      </c>
      <c r="C2724" s="5" t="s">
        <v>4188</v>
      </c>
      <c r="D2724" s="2" t="s">
        <v>3335</v>
      </c>
    </row>
    <row r="2725" spans="1:4" ht="13.05" customHeight="1" x14ac:dyDescent="0.3">
      <c r="A2725" s="2" t="s">
        <v>432</v>
      </c>
      <c r="B2725" s="2" t="s">
        <v>1054</v>
      </c>
      <c r="C2725" s="5" t="s">
        <v>4189</v>
      </c>
      <c r="D2725" s="2" t="s">
        <v>4190</v>
      </c>
    </row>
    <row r="2726" spans="1:4" ht="13.05" customHeight="1" x14ac:dyDescent="0.3">
      <c r="A2726" s="2" t="s">
        <v>432</v>
      </c>
      <c r="B2726" s="2" t="s">
        <v>1054</v>
      </c>
      <c r="C2726" s="5" t="s">
        <v>4191</v>
      </c>
      <c r="D2726" s="2" t="s">
        <v>4192</v>
      </c>
    </row>
    <row r="2727" spans="1:4" ht="13.05" customHeight="1" x14ac:dyDescent="0.3">
      <c r="A2727" s="2" t="s">
        <v>432</v>
      </c>
      <c r="B2727" s="2" t="s">
        <v>1054</v>
      </c>
      <c r="C2727" s="5" t="s">
        <v>4193</v>
      </c>
      <c r="D2727" s="2" t="s">
        <v>4194</v>
      </c>
    </row>
    <row r="2728" spans="1:4" ht="13.05" customHeight="1" x14ac:dyDescent="0.3">
      <c r="A2728" s="2" t="s">
        <v>432</v>
      </c>
      <c r="B2728" s="2" t="s">
        <v>1054</v>
      </c>
      <c r="C2728" s="5" t="s">
        <v>4195</v>
      </c>
      <c r="D2728" s="2" t="s">
        <v>4196</v>
      </c>
    </row>
    <row r="2729" spans="1:4" ht="13.05" customHeight="1" x14ac:dyDescent="0.3">
      <c r="A2729" s="2" t="s">
        <v>432</v>
      </c>
      <c r="B2729" s="2" t="s">
        <v>1054</v>
      </c>
      <c r="C2729" s="5" t="s">
        <v>4197</v>
      </c>
      <c r="D2729" s="2" t="s">
        <v>4198</v>
      </c>
    </row>
    <row r="2730" spans="1:4" ht="13.05" customHeight="1" x14ac:dyDescent="0.3">
      <c r="A2730" s="2" t="s">
        <v>432</v>
      </c>
      <c r="B2730" s="2" t="s">
        <v>1054</v>
      </c>
      <c r="C2730" s="5" t="s">
        <v>4199</v>
      </c>
      <c r="D2730" s="2" t="s">
        <v>4200</v>
      </c>
    </row>
    <row r="2731" spans="1:4" ht="13.05" customHeight="1" x14ac:dyDescent="0.3">
      <c r="A2731" s="2" t="s">
        <v>432</v>
      </c>
      <c r="B2731" s="2" t="s">
        <v>1054</v>
      </c>
      <c r="C2731" s="5" t="s">
        <v>4201</v>
      </c>
      <c r="D2731" s="2" t="s">
        <v>4202</v>
      </c>
    </row>
    <row r="2732" spans="1:4" ht="13.05" customHeight="1" x14ac:dyDescent="0.3">
      <c r="A2732" s="2" t="s">
        <v>432</v>
      </c>
      <c r="B2732" s="2" t="s">
        <v>1054</v>
      </c>
      <c r="C2732" s="5" t="s">
        <v>4203</v>
      </c>
      <c r="D2732" s="2" t="s">
        <v>4204</v>
      </c>
    </row>
    <row r="2733" spans="1:4" ht="13.05" customHeight="1" x14ac:dyDescent="0.3">
      <c r="A2733" s="2" t="s">
        <v>432</v>
      </c>
      <c r="B2733" s="2" t="s">
        <v>1054</v>
      </c>
      <c r="C2733" s="5" t="s">
        <v>4205</v>
      </c>
      <c r="D2733" s="2" t="s">
        <v>4068</v>
      </c>
    </row>
    <row r="2734" spans="1:4" ht="13.05" customHeight="1" x14ac:dyDescent="0.3">
      <c r="A2734" s="2" t="s">
        <v>432</v>
      </c>
      <c r="B2734" s="2" t="s">
        <v>1054</v>
      </c>
      <c r="C2734" s="5" t="s">
        <v>4206</v>
      </c>
      <c r="D2734" s="2" t="s">
        <v>4070</v>
      </c>
    </row>
    <row r="2735" spans="1:4" ht="13.05" customHeight="1" x14ac:dyDescent="0.3">
      <c r="A2735" s="2" t="s">
        <v>432</v>
      </c>
      <c r="B2735" s="2" t="s">
        <v>1054</v>
      </c>
      <c r="C2735" s="5" t="s">
        <v>4207</v>
      </c>
      <c r="D2735" s="2" t="s">
        <v>4208</v>
      </c>
    </row>
    <row r="2736" spans="1:4" ht="13.05" customHeight="1" x14ac:dyDescent="0.3">
      <c r="A2736" s="2" t="s">
        <v>432</v>
      </c>
      <c r="B2736" s="2" t="s">
        <v>1054</v>
      </c>
      <c r="C2736" s="5" t="s">
        <v>4209</v>
      </c>
      <c r="D2736" s="2" t="s">
        <v>4210</v>
      </c>
    </row>
    <row r="2737" spans="1:4" ht="13.05" customHeight="1" x14ac:dyDescent="0.3">
      <c r="A2737" s="2" t="s">
        <v>432</v>
      </c>
      <c r="B2737" s="2" t="s">
        <v>1054</v>
      </c>
      <c r="C2737" s="5" t="s">
        <v>4211</v>
      </c>
      <c r="D2737" s="2" t="s">
        <v>4212</v>
      </c>
    </row>
    <row r="2738" spans="1:4" ht="13.05" customHeight="1" x14ac:dyDescent="0.3">
      <c r="A2738" s="2" t="s">
        <v>432</v>
      </c>
      <c r="B2738" s="2" t="s">
        <v>1054</v>
      </c>
      <c r="C2738" s="5" t="s">
        <v>4213</v>
      </c>
      <c r="D2738" s="2" t="s">
        <v>3387</v>
      </c>
    </row>
    <row r="2739" spans="1:4" ht="13.05" customHeight="1" x14ac:dyDescent="0.3">
      <c r="A2739" s="2" t="s">
        <v>432</v>
      </c>
      <c r="B2739" s="2" t="s">
        <v>1054</v>
      </c>
      <c r="C2739" s="5" t="s">
        <v>4214</v>
      </c>
      <c r="D2739" s="2" t="s">
        <v>3389</v>
      </c>
    </row>
    <row r="2740" spans="1:4" ht="13.05" customHeight="1" x14ac:dyDescent="0.3">
      <c r="A2740" s="2" t="s">
        <v>432</v>
      </c>
      <c r="B2740" s="2" t="s">
        <v>1054</v>
      </c>
      <c r="C2740" s="5" t="s">
        <v>4215</v>
      </c>
      <c r="D2740" s="2" t="s">
        <v>3564</v>
      </c>
    </row>
    <row r="2741" spans="1:4" ht="13.05" customHeight="1" x14ac:dyDescent="0.3">
      <c r="A2741" s="2" t="s">
        <v>432</v>
      </c>
      <c r="B2741" s="2" t="s">
        <v>1054</v>
      </c>
      <c r="C2741" s="5" t="s">
        <v>4216</v>
      </c>
      <c r="D2741" s="2" t="s">
        <v>3566</v>
      </c>
    </row>
    <row r="2742" spans="1:4" ht="13.05" customHeight="1" x14ac:dyDescent="0.3">
      <c r="A2742" s="2" t="s">
        <v>432</v>
      </c>
      <c r="B2742" s="2" t="s">
        <v>1054</v>
      </c>
      <c r="C2742" s="5" t="s">
        <v>4217</v>
      </c>
      <c r="D2742" s="2" t="s">
        <v>3568</v>
      </c>
    </row>
    <row r="2743" spans="1:4" ht="13.05" customHeight="1" x14ac:dyDescent="0.3">
      <c r="A2743" s="2" t="s">
        <v>432</v>
      </c>
      <c r="B2743" s="2" t="s">
        <v>1054</v>
      </c>
      <c r="C2743" s="5" t="s">
        <v>4218</v>
      </c>
      <c r="D2743" s="2" t="s">
        <v>3570</v>
      </c>
    </row>
    <row r="2744" spans="1:4" ht="13.05" customHeight="1" x14ac:dyDescent="0.3">
      <c r="A2744" s="2" t="s">
        <v>432</v>
      </c>
      <c r="B2744" s="2" t="s">
        <v>1054</v>
      </c>
      <c r="C2744" s="5" t="s">
        <v>4219</v>
      </c>
      <c r="D2744" s="2" t="s">
        <v>3572</v>
      </c>
    </row>
    <row r="2745" spans="1:4" ht="13.05" customHeight="1" x14ac:dyDescent="0.3">
      <c r="A2745" s="2" t="s">
        <v>432</v>
      </c>
      <c r="B2745" s="2" t="s">
        <v>1054</v>
      </c>
      <c r="C2745" s="5" t="s">
        <v>4220</v>
      </c>
      <c r="D2745" s="2" t="s">
        <v>3574</v>
      </c>
    </row>
    <row r="2746" spans="1:4" ht="13.05" customHeight="1" x14ac:dyDescent="0.3">
      <c r="A2746" s="2" t="s">
        <v>432</v>
      </c>
      <c r="B2746" s="2" t="s">
        <v>1054</v>
      </c>
      <c r="C2746" s="5" t="s">
        <v>4221</v>
      </c>
      <c r="D2746" s="2" t="s">
        <v>3765</v>
      </c>
    </row>
    <row r="2747" spans="1:4" ht="13.05" customHeight="1" x14ac:dyDescent="0.3">
      <c r="A2747" s="2" t="s">
        <v>432</v>
      </c>
      <c r="B2747" s="2" t="s">
        <v>1054</v>
      </c>
      <c r="C2747" s="5" t="s">
        <v>4222</v>
      </c>
      <c r="D2747" s="2" t="s">
        <v>3578</v>
      </c>
    </row>
    <row r="2748" spans="1:4" ht="13.05" customHeight="1" x14ac:dyDescent="0.3">
      <c r="A2748" s="2" t="s">
        <v>432</v>
      </c>
      <c r="B2748" s="2" t="s">
        <v>1054</v>
      </c>
      <c r="C2748" s="5" t="s">
        <v>4223</v>
      </c>
      <c r="D2748" s="2" t="s">
        <v>3393</v>
      </c>
    </row>
    <row r="2749" spans="1:4" ht="13.05" customHeight="1" x14ac:dyDescent="0.3">
      <c r="A2749" s="2" t="s">
        <v>432</v>
      </c>
      <c r="B2749" s="2" t="s">
        <v>1054</v>
      </c>
      <c r="C2749" s="5" t="s">
        <v>4224</v>
      </c>
      <c r="D2749" s="2" t="s">
        <v>3581</v>
      </c>
    </row>
    <row r="2750" spans="1:4" ht="13.05" customHeight="1" x14ac:dyDescent="0.3">
      <c r="A2750" s="2" t="s">
        <v>432</v>
      </c>
      <c r="B2750" s="2" t="s">
        <v>1054</v>
      </c>
      <c r="C2750" s="5" t="s">
        <v>4225</v>
      </c>
      <c r="D2750" s="2" t="s">
        <v>3770</v>
      </c>
    </row>
    <row r="2751" spans="1:4" ht="13.05" customHeight="1" x14ac:dyDescent="0.3">
      <c r="A2751" s="2" t="s">
        <v>432</v>
      </c>
      <c r="B2751" s="2" t="s">
        <v>1054</v>
      </c>
      <c r="C2751" s="5" t="s">
        <v>4226</v>
      </c>
      <c r="D2751" s="2" t="s">
        <v>3584</v>
      </c>
    </row>
    <row r="2752" spans="1:4" ht="13.05" customHeight="1" x14ac:dyDescent="0.3">
      <c r="A2752" s="2" t="s">
        <v>432</v>
      </c>
      <c r="B2752" s="2" t="s">
        <v>1054</v>
      </c>
      <c r="C2752" s="5" t="s">
        <v>4227</v>
      </c>
      <c r="D2752" s="2" t="s">
        <v>3586</v>
      </c>
    </row>
    <row r="2753" spans="1:4" ht="13.05" customHeight="1" x14ac:dyDescent="0.3">
      <c r="A2753" s="2" t="s">
        <v>432</v>
      </c>
      <c r="B2753" s="2" t="s">
        <v>1054</v>
      </c>
      <c r="C2753" s="5" t="s">
        <v>4228</v>
      </c>
      <c r="D2753" s="2" t="s">
        <v>4229</v>
      </c>
    </row>
    <row r="2754" spans="1:4" ht="13.05" customHeight="1" x14ac:dyDescent="0.3">
      <c r="A2754" s="2" t="s">
        <v>432</v>
      </c>
      <c r="B2754" s="2" t="s">
        <v>1054</v>
      </c>
      <c r="C2754" s="5" t="s">
        <v>4230</v>
      </c>
      <c r="D2754" s="2" t="s">
        <v>4231</v>
      </c>
    </row>
    <row r="2755" spans="1:4" ht="13.05" customHeight="1" x14ac:dyDescent="0.3">
      <c r="A2755" s="2" t="s">
        <v>432</v>
      </c>
      <c r="B2755" s="2" t="s">
        <v>1054</v>
      </c>
      <c r="C2755" s="5" t="s">
        <v>4232</v>
      </c>
      <c r="D2755" s="2" t="s">
        <v>4233</v>
      </c>
    </row>
    <row r="2756" spans="1:4" ht="13.05" customHeight="1" x14ac:dyDescent="0.3">
      <c r="A2756" s="2" t="s">
        <v>432</v>
      </c>
      <c r="B2756" s="2" t="s">
        <v>1054</v>
      </c>
      <c r="C2756" s="5" t="s">
        <v>4234</v>
      </c>
      <c r="D2756" s="2" t="s">
        <v>4235</v>
      </c>
    </row>
    <row r="2757" spans="1:4" ht="13.05" customHeight="1" x14ac:dyDescent="0.3">
      <c r="A2757" s="2" t="s">
        <v>432</v>
      </c>
      <c r="B2757" s="2" t="s">
        <v>1054</v>
      </c>
      <c r="C2757" s="5" t="s">
        <v>4236</v>
      </c>
      <c r="D2757" s="2" t="s">
        <v>4237</v>
      </c>
    </row>
    <row r="2758" spans="1:4" ht="13.05" customHeight="1" x14ac:dyDescent="0.3">
      <c r="A2758" s="2" t="s">
        <v>432</v>
      </c>
      <c r="B2758" s="2" t="s">
        <v>1054</v>
      </c>
      <c r="C2758" s="5" t="s">
        <v>4238</v>
      </c>
      <c r="D2758" s="2" t="s">
        <v>3784</v>
      </c>
    </row>
    <row r="2759" spans="1:4" ht="13.05" customHeight="1" x14ac:dyDescent="0.3">
      <c r="A2759" s="2" t="s">
        <v>432</v>
      </c>
      <c r="B2759" s="2" t="s">
        <v>1054</v>
      </c>
      <c r="C2759" s="5" t="s">
        <v>4239</v>
      </c>
      <c r="D2759" s="2" t="s">
        <v>4240</v>
      </c>
    </row>
    <row r="2760" spans="1:4" ht="13.05" customHeight="1" x14ac:dyDescent="0.3">
      <c r="A2760" s="2" t="s">
        <v>432</v>
      </c>
      <c r="B2760" s="2" t="s">
        <v>1054</v>
      </c>
      <c r="C2760" s="5" t="s">
        <v>4241</v>
      </c>
      <c r="D2760" s="2" t="s">
        <v>4242</v>
      </c>
    </row>
    <row r="2761" spans="1:4" ht="13.05" customHeight="1" x14ac:dyDescent="0.3">
      <c r="A2761" s="2" t="s">
        <v>432</v>
      </c>
      <c r="B2761" s="2" t="s">
        <v>1054</v>
      </c>
      <c r="C2761" s="5" t="s">
        <v>4243</v>
      </c>
      <c r="D2761" s="2" t="s">
        <v>4244</v>
      </c>
    </row>
    <row r="2762" spans="1:4" ht="13.05" customHeight="1" x14ac:dyDescent="0.3">
      <c r="A2762" s="2" t="s">
        <v>432</v>
      </c>
      <c r="B2762" s="2" t="s">
        <v>1054</v>
      </c>
      <c r="C2762" s="5" t="s">
        <v>4245</v>
      </c>
      <c r="D2762" s="2" t="s">
        <v>4246</v>
      </c>
    </row>
    <row r="2763" spans="1:4" ht="13.05" customHeight="1" x14ac:dyDescent="0.3">
      <c r="A2763" s="2" t="s">
        <v>432</v>
      </c>
      <c r="B2763" s="2" t="s">
        <v>1054</v>
      </c>
      <c r="C2763" s="5" t="s">
        <v>4247</v>
      </c>
      <c r="D2763" s="2" t="s">
        <v>4248</v>
      </c>
    </row>
    <row r="2764" spans="1:4" ht="13.05" customHeight="1" x14ac:dyDescent="0.3">
      <c r="A2764" s="2" t="s">
        <v>432</v>
      </c>
      <c r="B2764" s="2" t="s">
        <v>1054</v>
      </c>
      <c r="C2764" s="5" t="s">
        <v>4249</v>
      </c>
      <c r="D2764" s="2" t="s">
        <v>4250</v>
      </c>
    </row>
    <row r="2765" spans="1:4" ht="13.05" customHeight="1" x14ac:dyDescent="0.3">
      <c r="A2765" s="2" t="s">
        <v>432</v>
      </c>
      <c r="B2765" s="2" t="s">
        <v>1054</v>
      </c>
      <c r="C2765" s="5" t="s">
        <v>4251</v>
      </c>
      <c r="D2765" s="2" t="s">
        <v>3445</v>
      </c>
    </row>
    <row r="2766" spans="1:4" ht="13.05" customHeight="1" x14ac:dyDescent="0.3">
      <c r="A2766" s="2" t="s">
        <v>432</v>
      </c>
      <c r="B2766" s="2" t="s">
        <v>1054</v>
      </c>
      <c r="C2766" s="5" t="s">
        <v>4252</v>
      </c>
      <c r="D2766" s="2" t="s">
        <v>3447</v>
      </c>
    </row>
    <row r="2767" spans="1:4" ht="13.05" customHeight="1" x14ac:dyDescent="0.3">
      <c r="A2767" s="2" t="s">
        <v>432</v>
      </c>
      <c r="B2767" s="2" t="s">
        <v>1054</v>
      </c>
      <c r="C2767" s="5" t="s">
        <v>4253</v>
      </c>
      <c r="D2767" s="2" t="s">
        <v>4254</v>
      </c>
    </row>
    <row r="2768" spans="1:4" ht="13.05" customHeight="1" x14ac:dyDescent="0.3">
      <c r="A2768" s="2" t="s">
        <v>432</v>
      </c>
      <c r="B2768" s="2" t="s">
        <v>1054</v>
      </c>
      <c r="C2768" s="5" t="s">
        <v>4255</v>
      </c>
      <c r="D2768" s="2" t="s">
        <v>4256</v>
      </c>
    </row>
    <row r="2769" spans="1:4" ht="13.05" customHeight="1" x14ac:dyDescent="0.3">
      <c r="A2769" s="2" t="s">
        <v>432</v>
      </c>
      <c r="B2769" s="2" t="s">
        <v>1054</v>
      </c>
      <c r="C2769" s="5" t="s">
        <v>4257</v>
      </c>
      <c r="D2769" s="2" t="s">
        <v>4258</v>
      </c>
    </row>
    <row r="2770" spans="1:4" ht="13.05" customHeight="1" x14ac:dyDescent="0.3">
      <c r="A2770" s="2" t="s">
        <v>432</v>
      </c>
      <c r="B2770" s="2" t="s">
        <v>1054</v>
      </c>
      <c r="C2770" s="5" t="s">
        <v>4259</v>
      </c>
      <c r="D2770" s="2" t="s">
        <v>4260</v>
      </c>
    </row>
    <row r="2771" spans="1:4" ht="13.05" customHeight="1" x14ac:dyDescent="0.3">
      <c r="A2771" s="2" t="s">
        <v>432</v>
      </c>
      <c r="B2771" s="2" t="s">
        <v>1054</v>
      </c>
      <c r="C2771" s="5" t="s">
        <v>4261</v>
      </c>
      <c r="D2771" s="2" t="s">
        <v>4262</v>
      </c>
    </row>
    <row r="2772" spans="1:4" ht="13.05" customHeight="1" x14ac:dyDescent="0.3">
      <c r="A2772" s="2" t="s">
        <v>432</v>
      </c>
      <c r="B2772" s="2" t="s">
        <v>1054</v>
      </c>
      <c r="C2772" s="5" t="s">
        <v>4263</v>
      </c>
      <c r="D2772" s="2" t="s">
        <v>4264</v>
      </c>
    </row>
    <row r="2773" spans="1:4" ht="13.05" customHeight="1" x14ac:dyDescent="0.3">
      <c r="A2773" s="2" t="s">
        <v>432</v>
      </c>
      <c r="B2773" s="2" t="s">
        <v>1054</v>
      </c>
      <c r="C2773" s="5" t="s">
        <v>4265</v>
      </c>
      <c r="D2773" s="2" t="s">
        <v>3387</v>
      </c>
    </row>
    <row r="2774" spans="1:4" ht="13.05" customHeight="1" x14ac:dyDescent="0.3">
      <c r="A2774" s="2" t="s">
        <v>432</v>
      </c>
      <c r="B2774" s="2" t="s">
        <v>1054</v>
      </c>
      <c r="C2774" s="5" t="s">
        <v>4266</v>
      </c>
      <c r="D2774" s="2" t="s">
        <v>3389</v>
      </c>
    </row>
    <row r="2775" spans="1:4" ht="13.05" customHeight="1" x14ac:dyDescent="0.3">
      <c r="A2775" s="2" t="s">
        <v>432</v>
      </c>
      <c r="B2775" s="2" t="s">
        <v>1054</v>
      </c>
      <c r="C2775" s="5" t="s">
        <v>4267</v>
      </c>
      <c r="D2775" s="2" t="s">
        <v>3570</v>
      </c>
    </row>
    <row r="2776" spans="1:4" ht="13.05" customHeight="1" x14ac:dyDescent="0.3">
      <c r="A2776" s="2" t="s">
        <v>432</v>
      </c>
      <c r="B2776" s="2" t="s">
        <v>1054</v>
      </c>
      <c r="C2776" s="5" t="s">
        <v>4268</v>
      </c>
      <c r="D2776" s="2" t="s">
        <v>4269</v>
      </c>
    </row>
    <row r="2777" spans="1:4" ht="13.05" customHeight="1" x14ac:dyDescent="0.3">
      <c r="A2777" s="2" t="s">
        <v>432</v>
      </c>
      <c r="B2777" s="2" t="s">
        <v>1054</v>
      </c>
      <c r="C2777" s="5" t="s">
        <v>4270</v>
      </c>
      <c r="D2777" s="2" t="s">
        <v>4271</v>
      </c>
    </row>
    <row r="2778" spans="1:4" ht="13.05" customHeight="1" x14ac:dyDescent="0.3">
      <c r="A2778" s="2" t="s">
        <v>432</v>
      </c>
      <c r="B2778" s="2" t="s">
        <v>1054</v>
      </c>
      <c r="C2778" s="5" t="s">
        <v>4272</v>
      </c>
      <c r="D2778" s="2" t="s">
        <v>4273</v>
      </c>
    </row>
    <row r="2779" spans="1:4" ht="13.05" customHeight="1" x14ac:dyDescent="0.3">
      <c r="A2779" s="2" t="s">
        <v>432</v>
      </c>
      <c r="B2779" s="2" t="s">
        <v>1054</v>
      </c>
      <c r="C2779" s="5" t="s">
        <v>4274</v>
      </c>
      <c r="D2779" s="2" t="s">
        <v>4275</v>
      </c>
    </row>
    <row r="2780" spans="1:4" ht="13.05" customHeight="1" x14ac:dyDescent="0.3">
      <c r="A2780" s="2" t="s">
        <v>432</v>
      </c>
      <c r="B2780" s="2" t="s">
        <v>1054</v>
      </c>
      <c r="C2780" s="5" t="s">
        <v>4276</v>
      </c>
      <c r="D2780" s="2" t="s">
        <v>3393</v>
      </c>
    </row>
    <row r="2781" spans="1:4" ht="13.05" customHeight="1" x14ac:dyDescent="0.3">
      <c r="A2781" s="2" t="s">
        <v>432</v>
      </c>
      <c r="B2781" s="2" t="s">
        <v>1054</v>
      </c>
      <c r="C2781" s="5" t="s">
        <v>4277</v>
      </c>
      <c r="D2781" s="2" t="s">
        <v>4278</v>
      </c>
    </row>
    <row r="2782" spans="1:4" ht="13.05" customHeight="1" x14ac:dyDescent="0.3">
      <c r="A2782" s="2" t="s">
        <v>432</v>
      </c>
      <c r="B2782" s="2" t="s">
        <v>1054</v>
      </c>
      <c r="C2782" s="5" t="s">
        <v>4279</v>
      </c>
      <c r="D2782" s="2" t="s">
        <v>3770</v>
      </c>
    </row>
    <row r="2783" spans="1:4" ht="13.05" customHeight="1" x14ac:dyDescent="0.3">
      <c r="A2783" s="2" t="s">
        <v>432</v>
      </c>
      <c r="B2783" s="2" t="s">
        <v>1054</v>
      </c>
      <c r="C2783" s="5" t="s">
        <v>4280</v>
      </c>
      <c r="D2783" s="2" t="s">
        <v>3584</v>
      </c>
    </row>
    <row r="2784" spans="1:4" ht="13.05" customHeight="1" x14ac:dyDescent="0.3">
      <c r="A2784" s="2" t="s">
        <v>432</v>
      </c>
      <c r="B2784" s="2" t="s">
        <v>1054</v>
      </c>
      <c r="C2784" s="5" t="s">
        <v>4281</v>
      </c>
      <c r="D2784" s="2" t="s">
        <v>4282</v>
      </c>
    </row>
    <row r="2785" spans="1:4" ht="13.05" customHeight="1" x14ac:dyDescent="0.3">
      <c r="A2785" s="2" t="s">
        <v>432</v>
      </c>
      <c r="B2785" s="2" t="s">
        <v>1054</v>
      </c>
      <c r="C2785" s="5" t="s">
        <v>4283</v>
      </c>
      <c r="D2785" s="2" t="s">
        <v>3221</v>
      </c>
    </row>
    <row r="2786" spans="1:4" ht="13.05" customHeight="1" x14ac:dyDescent="0.3">
      <c r="A2786" s="2" t="s">
        <v>432</v>
      </c>
      <c r="B2786" s="2" t="s">
        <v>1054</v>
      </c>
      <c r="C2786" s="5" t="s">
        <v>4284</v>
      </c>
      <c r="D2786" s="2" t="s">
        <v>3333</v>
      </c>
    </row>
    <row r="2787" spans="1:4" ht="13.05" customHeight="1" x14ac:dyDescent="0.3">
      <c r="A2787" s="2" t="s">
        <v>432</v>
      </c>
      <c r="B2787" s="2" t="s">
        <v>1054</v>
      </c>
      <c r="C2787" s="5" t="s">
        <v>4285</v>
      </c>
      <c r="D2787" s="2" t="s">
        <v>3335</v>
      </c>
    </row>
    <row r="2788" spans="1:4" ht="13.05" customHeight="1" x14ac:dyDescent="0.3">
      <c r="A2788" s="2" t="s">
        <v>432</v>
      </c>
      <c r="B2788" s="2" t="s">
        <v>1054</v>
      </c>
      <c r="C2788" s="5" t="s">
        <v>4286</v>
      </c>
      <c r="D2788" s="2" t="s">
        <v>4287</v>
      </c>
    </row>
    <row r="2789" spans="1:4" ht="13.05" customHeight="1" x14ac:dyDescent="0.3">
      <c r="A2789" s="2" t="s">
        <v>432</v>
      </c>
      <c r="B2789" s="2" t="s">
        <v>1054</v>
      </c>
      <c r="C2789" s="5" t="s">
        <v>4288</v>
      </c>
      <c r="D2789" s="2" t="s">
        <v>4289</v>
      </c>
    </row>
    <row r="2790" spans="1:4" ht="13.05" customHeight="1" x14ac:dyDescent="0.3">
      <c r="A2790" s="2" t="s">
        <v>432</v>
      </c>
      <c r="B2790" s="2" t="s">
        <v>1054</v>
      </c>
      <c r="C2790" s="5" t="s">
        <v>4290</v>
      </c>
      <c r="D2790" s="2" t="s">
        <v>4291</v>
      </c>
    </row>
    <row r="2791" spans="1:4" ht="13.05" customHeight="1" x14ac:dyDescent="0.3">
      <c r="A2791" s="2" t="s">
        <v>432</v>
      </c>
      <c r="B2791" s="2" t="s">
        <v>1054</v>
      </c>
      <c r="C2791" s="5" t="s">
        <v>4292</v>
      </c>
      <c r="D2791" s="2" t="s">
        <v>4293</v>
      </c>
    </row>
    <row r="2792" spans="1:4" ht="13.05" customHeight="1" x14ac:dyDescent="0.3">
      <c r="A2792" s="2" t="s">
        <v>432</v>
      </c>
      <c r="B2792" s="2" t="s">
        <v>1054</v>
      </c>
      <c r="C2792" s="5" t="s">
        <v>4294</v>
      </c>
      <c r="D2792" s="2" t="s">
        <v>4295</v>
      </c>
    </row>
    <row r="2793" spans="1:4" ht="13.05" customHeight="1" x14ac:dyDescent="0.3">
      <c r="A2793" s="2" t="s">
        <v>432</v>
      </c>
      <c r="B2793" s="2" t="s">
        <v>1054</v>
      </c>
      <c r="C2793" s="5" t="s">
        <v>4296</v>
      </c>
      <c r="D2793" s="2" t="s">
        <v>3333</v>
      </c>
    </row>
    <row r="2794" spans="1:4" ht="13.05" customHeight="1" x14ac:dyDescent="0.3">
      <c r="A2794" s="2" t="s">
        <v>432</v>
      </c>
      <c r="B2794" s="2" t="s">
        <v>1054</v>
      </c>
      <c r="C2794" s="5" t="s">
        <v>4297</v>
      </c>
      <c r="D2794" s="2" t="s">
        <v>4298</v>
      </c>
    </row>
    <row r="2795" spans="1:4" ht="13.05" customHeight="1" x14ac:dyDescent="0.3">
      <c r="A2795" s="2" t="s">
        <v>432</v>
      </c>
      <c r="B2795" s="2" t="s">
        <v>1054</v>
      </c>
      <c r="C2795" s="5" t="s">
        <v>4299</v>
      </c>
      <c r="D2795" s="2" t="s">
        <v>4300</v>
      </c>
    </row>
    <row r="2796" spans="1:4" ht="13.05" customHeight="1" x14ac:dyDescent="0.3">
      <c r="A2796" s="2" t="s">
        <v>432</v>
      </c>
      <c r="B2796" s="2" t="s">
        <v>1054</v>
      </c>
      <c r="C2796" s="5" t="s">
        <v>4301</v>
      </c>
      <c r="D2796" s="2" t="s">
        <v>4302</v>
      </c>
    </row>
    <row r="2797" spans="1:4" ht="13.05" customHeight="1" x14ac:dyDescent="0.3">
      <c r="A2797" s="2" t="s">
        <v>432</v>
      </c>
      <c r="B2797" s="2" t="s">
        <v>1054</v>
      </c>
      <c r="C2797" s="5" t="s">
        <v>4303</v>
      </c>
      <c r="D2797" s="2" t="s">
        <v>4304</v>
      </c>
    </row>
    <row r="2798" spans="1:4" ht="13.05" customHeight="1" x14ac:dyDescent="0.3">
      <c r="A2798" s="2" t="s">
        <v>432</v>
      </c>
      <c r="B2798" s="2" t="s">
        <v>1054</v>
      </c>
      <c r="C2798" s="5" t="s">
        <v>4305</v>
      </c>
      <c r="D2798" s="2" t="s">
        <v>4306</v>
      </c>
    </row>
    <row r="2799" spans="1:4" ht="13.05" customHeight="1" x14ac:dyDescent="0.3">
      <c r="A2799" s="2" t="s">
        <v>432</v>
      </c>
      <c r="B2799" s="2" t="s">
        <v>1054</v>
      </c>
      <c r="C2799" s="5" t="s">
        <v>4307</v>
      </c>
      <c r="D2799" s="2" t="s">
        <v>4308</v>
      </c>
    </row>
    <row r="2800" spans="1:4" ht="13.05" customHeight="1" x14ac:dyDescent="0.3">
      <c r="A2800" s="2" t="s">
        <v>432</v>
      </c>
      <c r="B2800" s="2" t="s">
        <v>1054</v>
      </c>
      <c r="C2800" s="5" t="s">
        <v>4309</v>
      </c>
      <c r="D2800" s="2" t="s">
        <v>4310</v>
      </c>
    </row>
    <row r="2801" spans="1:4" ht="13.05" customHeight="1" x14ac:dyDescent="0.3">
      <c r="A2801" s="2" t="s">
        <v>432</v>
      </c>
      <c r="B2801" s="2" t="s">
        <v>1054</v>
      </c>
      <c r="C2801" s="5" t="s">
        <v>4311</v>
      </c>
      <c r="D2801" s="2" t="s">
        <v>4312</v>
      </c>
    </row>
    <row r="2802" spans="1:4" ht="13.05" customHeight="1" x14ac:dyDescent="0.3">
      <c r="A2802" s="2" t="s">
        <v>432</v>
      </c>
      <c r="B2802" s="2" t="s">
        <v>1054</v>
      </c>
      <c r="C2802" s="5" t="s">
        <v>4313</v>
      </c>
      <c r="D2802" s="2" t="s">
        <v>4314</v>
      </c>
    </row>
    <row r="2803" spans="1:4" ht="13.05" customHeight="1" x14ac:dyDescent="0.3">
      <c r="A2803" s="2" t="s">
        <v>432</v>
      </c>
      <c r="B2803" s="2" t="s">
        <v>1054</v>
      </c>
      <c r="C2803" s="5" t="s">
        <v>4315</v>
      </c>
      <c r="D2803" s="2" t="s">
        <v>4316</v>
      </c>
    </row>
    <row r="2804" spans="1:4" ht="13.05" customHeight="1" x14ac:dyDescent="0.3">
      <c r="A2804" s="2" t="s">
        <v>432</v>
      </c>
      <c r="B2804" s="2" t="s">
        <v>1054</v>
      </c>
      <c r="C2804" s="5" t="s">
        <v>4317</v>
      </c>
      <c r="D2804" s="2" t="s">
        <v>4318</v>
      </c>
    </row>
    <row r="2805" spans="1:4" ht="13.05" customHeight="1" x14ac:dyDescent="0.3">
      <c r="A2805" s="2" t="s">
        <v>432</v>
      </c>
      <c r="B2805" s="2" t="s">
        <v>1054</v>
      </c>
      <c r="C2805" s="5" t="s">
        <v>4319</v>
      </c>
      <c r="D2805" s="2" t="s">
        <v>4320</v>
      </c>
    </row>
    <row r="2806" spans="1:4" ht="13.05" customHeight="1" x14ac:dyDescent="0.3">
      <c r="A2806" s="2" t="s">
        <v>432</v>
      </c>
      <c r="B2806" s="2" t="s">
        <v>1054</v>
      </c>
      <c r="C2806" s="5" t="s">
        <v>4321</v>
      </c>
      <c r="D2806" s="2" t="s">
        <v>4322</v>
      </c>
    </row>
    <row r="2807" spans="1:4" ht="13.05" customHeight="1" x14ac:dyDescent="0.3">
      <c r="A2807" s="2" t="s">
        <v>432</v>
      </c>
      <c r="B2807" s="2" t="s">
        <v>1054</v>
      </c>
      <c r="C2807" s="5" t="s">
        <v>4323</v>
      </c>
      <c r="D2807" s="2" t="s">
        <v>4324</v>
      </c>
    </row>
    <row r="2808" spans="1:4" ht="13.05" customHeight="1" x14ac:dyDescent="0.3">
      <c r="A2808" s="2" t="s">
        <v>432</v>
      </c>
      <c r="B2808" s="2" t="s">
        <v>1054</v>
      </c>
      <c r="C2808" s="5" t="s">
        <v>4325</v>
      </c>
      <c r="D2808" s="2" t="s">
        <v>4326</v>
      </c>
    </row>
    <row r="2809" spans="1:4" ht="13.05" customHeight="1" x14ac:dyDescent="0.3">
      <c r="A2809" s="2" t="s">
        <v>432</v>
      </c>
      <c r="B2809" s="2" t="s">
        <v>1054</v>
      </c>
      <c r="C2809" s="5" t="s">
        <v>4327</v>
      </c>
      <c r="D2809" s="2" t="s">
        <v>4328</v>
      </c>
    </row>
    <row r="2810" spans="1:4" ht="13.05" customHeight="1" x14ac:dyDescent="0.3">
      <c r="A2810" s="2" t="s">
        <v>432</v>
      </c>
      <c r="B2810" s="2" t="s">
        <v>1054</v>
      </c>
      <c r="C2810" s="5" t="s">
        <v>4329</v>
      </c>
      <c r="D2810" s="2" t="s">
        <v>4330</v>
      </c>
    </row>
    <row r="2811" spans="1:4" ht="13.05" customHeight="1" x14ac:dyDescent="0.3">
      <c r="A2811" s="2" t="s">
        <v>432</v>
      </c>
      <c r="B2811" s="2" t="s">
        <v>1054</v>
      </c>
      <c r="C2811" s="5" t="s">
        <v>4331</v>
      </c>
      <c r="D2811" s="2" t="s">
        <v>4332</v>
      </c>
    </row>
    <row r="2812" spans="1:4" ht="13.05" customHeight="1" x14ac:dyDescent="0.3">
      <c r="A2812" s="2" t="s">
        <v>432</v>
      </c>
      <c r="B2812" s="2" t="s">
        <v>1054</v>
      </c>
      <c r="C2812" s="5" t="s">
        <v>4333</v>
      </c>
      <c r="D2812" s="2" t="s">
        <v>4334</v>
      </c>
    </row>
    <row r="2813" spans="1:4" ht="13.05" customHeight="1" x14ac:dyDescent="0.3">
      <c r="A2813" s="2" t="s">
        <v>432</v>
      </c>
      <c r="B2813" s="2" t="s">
        <v>1054</v>
      </c>
      <c r="C2813" s="5" t="s">
        <v>4335</v>
      </c>
      <c r="D2813" s="2" t="s">
        <v>4336</v>
      </c>
    </row>
    <row r="2814" spans="1:4" ht="13.05" customHeight="1" x14ac:dyDescent="0.3">
      <c r="A2814" s="2" t="s">
        <v>432</v>
      </c>
      <c r="B2814" s="2" t="s">
        <v>1054</v>
      </c>
      <c r="C2814" s="5" t="s">
        <v>4337</v>
      </c>
      <c r="D2814" s="2" t="s">
        <v>3445</v>
      </c>
    </row>
    <row r="2815" spans="1:4" ht="13.05" customHeight="1" x14ac:dyDescent="0.3">
      <c r="A2815" s="2" t="s">
        <v>432</v>
      </c>
      <c r="B2815" s="2" t="s">
        <v>1054</v>
      </c>
      <c r="C2815" s="5" t="s">
        <v>4338</v>
      </c>
      <c r="D2815" s="2" t="s">
        <v>3447</v>
      </c>
    </row>
    <row r="2816" spans="1:4" ht="13.05" customHeight="1" x14ac:dyDescent="0.3">
      <c r="A2816" s="2" t="s">
        <v>432</v>
      </c>
      <c r="B2816" s="2" t="s">
        <v>1054</v>
      </c>
      <c r="C2816" s="5" t="s">
        <v>4339</v>
      </c>
      <c r="D2816" s="2" t="s">
        <v>4340</v>
      </c>
    </row>
    <row r="2817" spans="1:4" ht="13.05" customHeight="1" x14ac:dyDescent="0.3">
      <c r="A2817" s="2" t="s">
        <v>432</v>
      </c>
      <c r="B2817" s="2" t="s">
        <v>1054</v>
      </c>
      <c r="C2817" s="5" t="s">
        <v>4341</v>
      </c>
      <c r="D2817" s="2" t="s">
        <v>4342</v>
      </c>
    </row>
    <row r="2818" spans="1:4" ht="13.05" customHeight="1" x14ac:dyDescent="0.3">
      <c r="A2818" s="2" t="s">
        <v>432</v>
      </c>
      <c r="B2818" s="2" t="s">
        <v>1054</v>
      </c>
      <c r="C2818" s="5" t="s">
        <v>4343</v>
      </c>
      <c r="D2818" s="2" t="s">
        <v>4344</v>
      </c>
    </row>
    <row r="2819" spans="1:4" ht="13.05" customHeight="1" x14ac:dyDescent="0.3">
      <c r="A2819" s="2" t="s">
        <v>432</v>
      </c>
      <c r="B2819" s="2" t="s">
        <v>1054</v>
      </c>
      <c r="C2819" s="5" t="s">
        <v>4345</v>
      </c>
      <c r="D2819" s="2" t="s">
        <v>4346</v>
      </c>
    </row>
    <row r="2820" spans="1:4" ht="13.05" customHeight="1" x14ac:dyDescent="0.3">
      <c r="A2820" s="2" t="s">
        <v>432</v>
      </c>
      <c r="B2820" s="2" t="s">
        <v>1054</v>
      </c>
      <c r="C2820" s="5" t="s">
        <v>4347</v>
      </c>
      <c r="D2820" s="2" t="s">
        <v>4348</v>
      </c>
    </row>
    <row r="2821" spans="1:4" ht="13.05" customHeight="1" x14ac:dyDescent="0.3">
      <c r="A2821" s="2" t="s">
        <v>432</v>
      </c>
      <c r="B2821" s="2" t="s">
        <v>1054</v>
      </c>
      <c r="C2821" s="5" t="s">
        <v>4349</v>
      </c>
      <c r="D2821" s="2" t="s">
        <v>4350</v>
      </c>
    </row>
    <row r="2822" spans="1:4" ht="13.05" customHeight="1" x14ac:dyDescent="0.3">
      <c r="A2822" s="2" t="s">
        <v>432</v>
      </c>
      <c r="B2822" s="2" t="s">
        <v>1054</v>
      </c>
      <c r="C2822" s="5" t="s">
        <v>4351</v>
      </c>
      <c r="D2822" s="2" t="s">
        <v>3365</v>
      </c>
    </row>
    <row r="2823" spans="1:4" ht="13.05" customHeight="1" x14ac:dyDescent="0.3">
      <c r="A2823" s="2" t="s">
        <v>432</v>
      </c>
      <c r="B2823" s="2" t="s">
        <v>1054</v>
      </c>
      <c r="C2823" s="5" t="s">
        <v>4352</v>
      </c>
      <c r="D2823" s="2" t="s">
        <v>3367</v>
      </c>
    </row>
    <row r="2824" spans="1:4" ht="13.05" customHeight="1" x14ac:dyDescent="0.3">
      <c r="A2824" s="2" t="s">
        <v>432</v>
      </c>
      <c r="B2824" s="2" t="s">
        <v>1054</v>
      </c>
      <c r="C2824" s="5" t="s">
        <v>4353</v>
      </c>
      <c r="D2824" s="2" t="s">
        <v>3586</v>
      </c>
    </row>
    <row r="2825" spans="1:4" ht="13.05" customHeight="1" x14ac:dyDescent="0.3">
      <c r="A2825" s="2" t="s">
        <v>432</v>
      </c>
      <c r="B2825" s="2" t="s">
        <v>1054</v>
      </c>
      <c r="C2825" s="5" t="s">
        <v>4354</v>
      </c>
      <c r="D2825" s="2" t="s">
        <v>4355</v>
      </c>
    </row>
    <row r="2826" spans="1:4" ht="13.05" customHeight="1" x14ac:dyDescent="0.3">
      <c r="A2826" s="2" t="s">
        <v>432</v>
      </c>
      <c r="B2826" s="2" t="s">
        <v>1054</v>
      </c>
      <c r="C2826" s="5" t="s">
        <v>4356</v>
      </c>
      <c r="D2826" s="2" t="s">
        <v>4357</v>
      </c>
    </row>
    <row r="2827" spans="1:4" ht="13.05" customHeight="1" x14ac:dyDescent="0.3">
      <c r="A2827" s="2" t="s">
        <v>432</v>
      </c>
      <c r="B2827" s="2" t="s">
        <v>1054</v>
      </c>
      <c r="C2827" s="5" t="s">
        <v>4358</v>
      </c>
      <c r="D2827" s="2" t="s">
        <v>4359</v>
      </c>
    </row>
    <row r="2828" spans="1:4" ht="13.05" customHeight="1" x14ac:dyDescent="0.3">
      <c r="A2828" s="2" t="s">
        <v>432</v>
      </c>
      <c r="B2828" s="2" t="s">
        <v>1054</v>
      </c>
      <c r="C2828" s="5" t="s">
        <v>4360</v>
      </c>
      <c r="D2828" s="2" t="s">
        <v>4361</v>
      </c>
    </row>
    <row r="2829" spans="1:4" ht="13.05" customHeight="1" x14ac:dyDescent="0.3">
      <c r="A2829" s="2" t="s">
        <v>432</v>
      </c>
      <c r="B2829" s="2" t="s">
        <v>1054</v>
      </c>
      <c r="C2829" s="5" t="s">
        <v>4362</v>
      </c>
      <c r="D2829" s="2" t="s">
        <v>4363</v>
      </c>
    </row>
    <row r="2830" spans="1:4" ht="13.05" customHeight="1" x14ac:dyDescent="0.3">
      <c r="A2830" s="2" t="s">
        <v>432</v>
      </c>
      <c r="B2830" s="2" t="s">
        <v>1054</v>
      </c>
      <c r="C2830" s="5" t="s">
        <v>4364</v>
      </c>
      <c r="D2830" s="2" t="s">
        <v>4365</v>
      </c>
    </row>
    <row r="2831" spans="1:4" ht="13.05" customHeight="1" x14ac:dyDescent="0.3">
      <c r="A2831" s="2" t="s">
        <v>432</v>
      </c>
      <c r="B2831" s="2" t="s">
        <v>1054</v>
      </c>
      <c r="C2831" s="5" t="s">
        <v>4366</v>
      </c>
      <c r="D2831" s="2" t="s">
        <v>4367</v>
      </c>
    </row>
    <row r="2832" spans="1:4" ht="13.05" customHeight="1" x14ac:dyDescent="0.3">
      <c r="A2832" s="2" t="s">
        <v>432</v>
      </c>
      <c r="B2832" s="2" t="s">
        <v>1054</v>
      </c>
      <c r="C2832" s="5" t="s">
        <v>4368</v>
      </c>
      <c r="D2832" s="2" t="s">
        <v>4369</v>
      </c>
    </row>
    <row r="2833" spans="1:4" ht="13.05" customHeight="1" x14ac:dyDescent="0.3">
      <c r="A2833" s="2" t="s">
        <v>432</v>
      </c>
      <c r="B2833" s="2" t="s">
        <v>1054</v>
      </c>
      <c r="C2833" s="5" t="s">
        <v>4370</v>
      </c>
      <c r="D2833" s="2" t="s">
        <v>3445</v>
      </c>
    </row>
    <row r="2834" spans="1:4" ht="13.05" customHeight="1" x14ac:dyDescent="0.3">
      <c r="A2834" s="2" t="s">
        <v>432</v>
      </c>
      <c r="B2834" s="2" t="s">
        <v>1054</v>
      </c>
      <c r="C2834" s="5" t="s">
        <v>4371</v>
      </c>
      <c r="D2834" s="2" t="s">
        <v>3447</v>
      </c>
    </row>
    <row r="2835" spans="1:4" ht="13.05" customHeight="1" x14ac:dyDescent="0.3">
      <c r="A2835" s="2" t="s">
        <v>432</v>
      </c>
      <c r="B2835" s="2" t="s">
        <v>1054</v>
      </c>
      <c r="C2835" s="5" t="s">
        <v>4372</v>
      </c>
      <c r="D2835" s="2" t="s">
        <v>4373</v>
      </c>
    </row>
    <row r="2836" spans="1:4" ht="13.05" customHeight="1" x14ac:dyDescent="0.3">
      <c r="A2836" s="2" t="s">
        <v>432</v>
      </c>
      <c r="B2836" s="2" t="s">
        <v>1054</v>
      </c>
      <c r="C2836" s="5" t="s">
        <v>4374</v>
      </c>
      <c r="D2836" s="2" t="s">
        <v>4375</v>
      </c>
    </row>
    <row r="2837" spans="1:4" ht="13.05" customHeight="1" x14ac:dyDescent="0.3">
      <c r="A2837" s="2" t="s">
        <v>432</v>
      </c>
      <c r="B2837" s="2" t="s">
        <v>1054</v>
      </c>
      <c r="C2837" s="5" t="s">
        <v>4376</v>
      </c>
      <c r="D2837" s="2" t="s">
        <v>4324</v>
      </c>
    </row>
    <row r="2838" spans="1:4" ht="13.05" customHeight="1" x14ac:dyDescent="0.3">
      <c r="A2838" s="2" t="s">
        <v>432</v>
      </c>
      <c r="B2838" s="2" t="s">
        <v>1054</v>
      </c>
      <c r="C2838" s="5" t="s">
        <v>4377</v>
      </c>
      <c r="D2838" s="2" t="s">
        <v>4378</v>
      </c>
    </row>
    <row r="2839" spans="1:4" ht="13.05" customHeight="1" x14ac:dyDescent="0.3">
      <c r="A2839" s="2" t="s">
        <v>432</v>
      </c>
      <c r="B2839" s="2" t="s">
        <v>1054</v>
      </c>
      <c r="C2839" s="5" t="s">
        <v>4379</v>
      </c>
      <c r="D2839" s="2" t="s">
        <v>3168</v>
      </c>
    </row>
    <row r="2840" spans="1:4" ht="13.05" customHeight="1" x14ac:dyDescent="0.3">
      <c r="A2840" s="2" t="s">
        <v>432</v>
      </c>
      <c r="B2840" s="2" t="s">
        <v>1054</v>
      </c>
      <c r="C2840" s="5" t="s">
        <v>4380</v>
      </c>
      <c r="D2840" s="2" t="s">
        <v>4381</v>
      </c>
    </row>
    <row r="2841" spans="1:4" ht="13.05" customHeight="1" x14ac:dyDescent="0.3">
      <c r="A2841" s="2" t="s">
        <v>432</v>
      </c>
      <c r="B2841" s="2" t="s">
        <v>1054</v>
      </c>
      <c r="C2841" s="5" t="s">
        <v>4382</v>
      </c>
      <c r="D2841" s="2" t="s">
        <v>3417</v>
      </c>
    </row>
    <row r="2842" spans="1:4" ht="13.05" customHeight="1" x14ac:dyDescent="0.3">
      <c r="A2842" s="2" t="s">
        <v>432</v>
      </c>
      <c r="B2842" s="2" t="s">
        <v>1054</v>
      </c>
      <c r="C2842" s="5" t="s">
        <v>4383</v>
      </c>
      <c r="D2842" s="2" t="s">
        <v>4384</v>
      </c>
    </row>
    <row r="2843" spans="1:4" ht="13.05" customHeight="1" x14ac:dyDescent="0.3">
      <c r="A2843" s="2" t="s">
        <v>432</v>
      </c>
      <c r="B2843" s="2" t="s">
        <v>1054</v>
      </c>
      <c r="C2843" s="5" t="s">
        <v>4385</v>
      </c>
      <c r="D2843" s="2" t="s">
        <v>4386</v>
      </c>
    </row>
    <row r="2844" spans="1:4" ht="13.05" customHeight="1" x14ac:dyDescent="0.3">
      <c r="A2844" s="2" t="s">
        <v>432</v>
      </c>
      <c r="B2844" s="2" t="s">
        <v>1054</v>
      </c>
      <c r="C2844" s="5" t="s">
        <v>4387</v>
      </c>
      <c r="D2844" s="2" t="s">
        <v>4388</v>
      </c>
    </row>
    <row r="2845" spans="1:4" ht="13.05" customHeight="1" x14ac:dyDescent="0.3">
      <c r="A2845" s="2" t="s">
        <v>432</v>
      </c>
      <c r="B2845" s="2" t="s">
        <v>1054</v>
      </c>
      <c r="C2845" s="5" t="s">
        <v>4389</v>
      </c>
      <c r="D2845" s="2" t="s">
        <v>4390</v>
      </c>
    </row>
    <row r="2846" spans="1:4" ht="13.05" customHeight="1" x14ac:dyDescent="0.3">
      <c r="A2846" s="2" t="s">
        <v>432</v>
      </c>
      <c r="B2846" s="2" t="s">
        <v>1054</v>
      </c>
      <c r="C2846" s="5" t="s">
        <v>4391</v>
      </c>
      <c r="D2846" s="2" t="s">
        <v>4392</v>
      </c>
    </row>
    <row r="2847" spans="1:4" ht="13.05" customHeight="1" x14ac:dyDescent="0.3">
      <c r="A2847" s="2" t="s">
        <v>432</v>
      </c>
      <c r="B2847" s="2" t="s">
        <v>1054</v>
      </c>
      <c r="C2847" s="5" t="s">
        <v>4393</v>
      </c>
      <c r="D2847" s="2" t="s">
        <v>4394</v>
      </c>
    </row>
    <row r="2848" spans="1:4" ht="13.05" customHeight="1" x14ac:dyDescent="0.3">
      <c r="A2848" s="2" t="s">
        <v>432</v>
      </c>
      <c r="B2848" s="2" t="s">
        <v>1054</v>
      </c>
      <c r="C2848" s="5" t="s">
        <v>4395</v>
      </c>
      <c r="D2848" s="2" t="s">
        <v>4396</v>
      </c>
    </row>
    <row r="2849" spans="1:4" ht="13.05" customHeight="1" x14ac:dyDescent="0.3">
      <c r="A2849" s="2" t="s">
        <v>432</v>
      </c>
      <c r="B2849" s="2" t="s">
        <v>1054</v>
      </c>
      <c r="C2849" s="5" t="s">
        <v>4397</v>
      </c>
      <c r="D2849" s="2" t="s">
        <v>4398</v>
      </c>
    </row>
    <row r="2850" spans="1:4" ht="13.05" customHeight="1" x14ac:dyDescent="0.3">
      <c r="A2850" s="2" t="s">
        <v>432</v>
      </c>
      <c r="B2850" s="2" t="s">
        <v>1054</v>
      </c>
      <c r="C2850" s="5" t="s">
        <v>4399</v>
      </c>
      <c r="D2850" s="2" t="s">
        <v>4400</v>
      </c>
    </row>
    <row r="2851" spans="1:4" ht="13.05" customHeight="1" x14ac:dyDescent="0.3">
      <c r="A2851" s="2" t="s">
        <v>432</v>
      </c>
      <c r="B2851" s="2" t="s">
        <v>1054</v>
      </c>
      <c r="C2851" s="5" t="s">
        <v>4401</v>
      </c>
      <c r="D2851" s="2" t="s">
        <v>4402</v>
      </c>
    </row>
    <row r="2852" spans="1:4" ht="13.05" customHeight="1" x14ac:dyDescent="0.3">
      <c r="A2852" s="2" t="s">
        <v>432</v>
      </c>
      <c r="B2852" s="2" t="s">
        <v>1054</v>
      </c>
      <c r="C2852" s="5" t="s">
        <v>4403</v>
      </c>
      <c r="D2852" s="2" t="s">
        <v>4404</v>
      </c>
    </row>
    <row r="2853" spans="1:4" ht="13.05" customHeight="1" x14ac:dyDescent="0.3">
      <c r="A2853" s="2" t="s">
        <v>432</v>
      </c>
      <c r="B2853" s="2" t="s">
        <v>1054</v>
      </c>
      <c r="C2853" s="5" t="s">
        <v>4405</v>
      </c>
      <c r="D2853" s="2" t="s">
        <v>4406</v>
      </c>
    </row>
    <row r="2854" spans="1:4" ht="13.05" customHeight="1" x14ac:dyDescent="0.3">
      <c r="A2854" s="2" t="s">
        <v>432</v>
      </c>
      <c r="B2854" s="2" t="s">
        <v>1054</v>
      </c>
      <c r="C2854" s="5" t="s">
        <v>4407</v>
      </c>
      <c r="D2854" s="2" t="s">
        <v>4408</v>
      </c>
    </row>
    <row r="2855" spans="1:4" ht="13.05" customHeight="1" x14ac:dyDescent="0.3">
      <c r="A2855" s="2" t="s">
        <v>432</v>
      </c>
      <c r="B2855" s="2" t="s">
        <v>1054</v>
      </c>
      <c r="C2855" s="5" t="s">
        <v>4409</v>
      </c>
      <c r="D2855" s="2" t="s">
        <v>4410</v>
      </c>
    </row>
    <row r="2856" spans="1:4" ht="13.05" customHeight="1" x14ac:dyDescent="0.3">
      <c r="A2856" s="2" t="s">
        <v>432</v>
      </c>
      <c r="B2856" s="2" t="s">
        <v>1054</v>
      </c>
      <c r="C2856" s="5" t="s">
        <v>4411</v>
      </c>
      <c r="D2856" s="2" t="s">
        <v>4412</v>
      </c>
    </row>
    <row r="2857" spans="1:4" ht="13.05" customHeight="1" x14ac:dyDescent="0.3">
      <c r="A2857" s="2" t="s">
        <v>432</v>
      </c>
      <c r="B2857" s="2" t="s">
        <v>1054</v>
      </c>
      <c r="C2857" s="5" t="s">
        <v>4413</v>
      </c>
      <c r="D2857" s="2" t="s">
        <v>4414</v>
      </c>
    </row>
    <row r="2858" spans="1:4" ht="13.05" customHeight="1" x14ac:dyDescent="0.3">
      <c r="A2858" s="2" t="s">
        <v>432</v>
      </c>
      <c r="B2858" s="2" t="s">
        <v>1054</v>
      </c>
      <c r="C2858" s="5" t="s">
        <v>4415</v>
      </c>
      <c r="D2858" s="2" t="s">
        <v>4416</v>
      </c>
    </row>
    <row r="2859" spans="1:4" ht="13.05" customHeight="1" x14ac:dyDescent="0.3">
      <c r="A2859" s="2" t="s">
        <v>432</v>
      </c>
      <c r="B2859" s="2" t="s">
        <v>1054</v>
      </c>
      <c r="C2859" s="5" t="s">
        <v>4417</v>
      </c>
      <c r="D2859" s="2" t="s">
        <v>4418</v>
      </c>
    </row>
    <row r="2860" spans="1:4" ht="13.05" customHeight="1" x14ac:dyDescent="0.3">
      <c r="A2860" s="2" t="s">
        <v>432</v>
      </c>
      <c r="B2860" s="2" t="s">
        <v>1054</v>
      </c>
      <c r="C2860" s="5" t="s">
        <v>4419</v>
      </c>
      <c r="D2860" s="2" t="s">
        <v>4420</v>
      </c>
    </row>
    <row r="2861" spans="1:4" ht="13.05" customHeight="1" x14ac:dyDescent="0.3">
      <c r="A2861" s="2" t="s">
        <v>432</v>
      </c>
      <c r="B2861" s="2" t="s">
        <v>1054</v>
      </c>
      <c r="C2861" s="5" t="s">
        <v>4421</v>
      </c>
      <c r="D2861" s="2" t="s">
        <v>4422</v>
      </c>
    </row>
    <row r="2862" spans="1:4" ht="13.05" customHeight="1" x14ac:dyDescent="0.3">
      <c r="A2862" s="2" t="s">
        <v>432</v>
      </c>
      <c r="B2862" s="2" t="s">
        <v>1054</v>
      </c>
      <c r="C2862" s="5" t="s">
        <v>4423</v>
      </c>
      <c r="D2862" s="2" t="s">
        <v>4424</v>
      </c>
    </row>
    <row r="2863" spans="1:4" ht="13.05" customHeight="1" x14ac:dyDescent="0.3">
      <c r="A2863" s="2" t="s">
        <v>432</v>
      </c>
      <c r="B2863" s="2" t="s">
        <v>1054</v>
      </c>
      <c r="C2863" s="5" t="s">
        <v>4425</v>
      </c>
      <c r="D2863" s="2" t="s">
        <v>3445</v>
      </c>
    </row>
    <row r="2864" spans="1:4" ht="13.05" customHeight="1" x14ac:dyDescent="0.3">
      <c r="A2864" s="2" t="s">
        <v>432</v>
      </c>
      <c r="B2864" s="2" t="s">
        <v>1054</v>
      </c>
      <c r="C2864" s="5" t="s">
        <v>4426</v>
      </c>
      <c r="D2864" s="2" t="s">
        <v>3447</v>
      </c>
    </row>
    <row r="2865" spans="1:4" ht="13.05" customHeight="1" x14ac:dyDescent="0.3">
      <c r="A2865" s="2" t="s">
        <v>432</v>
      </c>
      <c r="B2865" s="2" t="s">
        <v>1054</v>
      </c>
      <c r="C2865" s="5" t="s">
        <v>4427</v>
      </c>
      <c r="D2865" s="2" t="s">
        <v>4428</v>
      </c>
    </row>
    <row r="2866" spans="1:4" ht="13.05" customHeight="1" x14ac:dyDescent="0.3">
      <c r="A2866" s="2" t="s">
        <v>432</v>
      </c>
      <c r="B2866" s="2" t="s">
        <v>1054</v>
      </c>
      <c r="C2866" s="5" t="s">
        <v>4429</v>
      </c>
      <c r="D2866" s="2" t="s">
        <v>4430</v>
      </c>
    </row>
    <row r="2867" spans="1:4" ht="13.05" customHeight="1" x14ac:dyDescent="0.3">
      <c r="A2867" s="2" t="s">
        <v>432</v>
      </c>
      <c r="B2867" s="2" t="s">
        <v>1054</v>
      </c>
      <c r="C2867" s="5" t="s">
        <v>4431</v>
      </c>
      <c r="D2867" s="2" t="s">
        <v>4432</v>
      </c>
    </row>
    <row r="2868" spans="1:4" ht="13.05" customHeight="1" x14ac:dyDescent="0.3">
      <c r="A2868" s="2" t="s">
        <v>432</v>
      </c>
      <c r="B2868" s="2" t="s">
        <v>1054</v>
      </c>
      <c r="C2868" s="5" t="s">
        <v>4433</v>
      </c>
      <c r="D2868" s="2" t="s">
        <v>4434</v>
      </c>
    </row>
    <row r="2869" spans="1:4" ht="13.05" customHeight="1" x14ac:dyDescent="0.3">
      <c r="A2869" s="2" t="s">
        <v>432</v>
      </c>
      <c r="B2869" s="2" t="s">
        <v>1054</v>
      </c>
      <c r="C2869" s="5" t="s">
        <v>4435</v>
      </c>
      <c r="D2869" s="2" t="s">
        <v>4436</v>
      </c>
    </row>
    <row r="2870" spans="1:4" ht="13.05" customHeight="1" x14ac:dyDescent="0.3">
      <c r="A2870" s="2" t="s">
        <v>432</v>
      </c>
      <c r="B2870" s="2" t="s">
        <v>1054</v>
      </c>
      <c r="C2870" s="5" t="s">
        <v>4437</v>
      </c>
      <c r="D2870" s="2" t="s">
        <v>4258</v>
      </c>
    </row>
    <row r="2871" spans="1:4" ht="13.05" customHeight="1" x14ac:dyDescent="0.3">
      <c r="A2871" s="2" t="s">
        <v>432</v>
      </c>
      <c r="B2871" s="2" t="s">
        <v>1054</v>
      </c>
      <c r="C2871" s="5" t="s">
        <v>4438</v>
      </c>
      <c r="D2871" s="2" t="s">
        <v>4439</v>
      </c>
    </row>
    <row r="2872" spans="1:4" ht="13.05" customHeight="1" x14ac:dyDescent="0.3">
      <c r="A2872" s="2" t="s">
        <v>432</v>
      </c>
      <c r="B2872" s="2" t="s">
        <v>1054</v>
      </c>
      <c r="C2872" s="5" t="s">
        <v>4440</v>
      </c>
      <c r="D2872" s="2" t="s">
        <v>4441</v>
      </c>
    </row>
    <row r="2873" spans="1:4" ht="13.05" customHeight="1" x14ac:dyDescent="0.3">
      <c r="A2873" s="2" t="s">
        <v>432</v>
      </c>
      <c r="B2873" s="2" t="s">
        <v>1054</v>
      </c>
      <c r="C2873" s="5" t="s">
        <v>4442</v>
      </c>
      <c r="D2873" s="2" t="s">
        <v>4443</v>
      </c>
    </row>
    <row r="2874" spans="1:4" ht="13.05" customHeight="1" x14ac:dyDescent="0.3">
      <c r="A2874" s="2" t="s">
        <v>432</v>
      </c>
      <c r="B2874" s="2" t="s">
        <v>1054</v>
      </c>
      <c r="C2874" s="5" t="s">
        <v>4444</v>
      </c>
      <c r="D2874" s="2" t="s">
        <v>4445</v>
      </c>
    </row>
    <row r="2875" spans="1:4" ht="13.05" customHeight="1" x14ac:dyDescent="0.3">
      <c r="A2875" s="2" t="s">
        <v>432</v>
      </c>
      <c r="B2875" s="2" t="s">
        <v>1054</v>
      </c>
      <c r="C2875" s="5" t="s">
        <v>4446</v>
      </c>
      <c r="D2875" s="2" t="s">
        <v>4447</v>
      </c>
    </row>
    <row r="2876" spans="1:4" ht="13.05" customHeight="1" x14ac:dyDescent="0.3">
      <c r="A2876" s="2" t="s">
        <v>432</v>
      </c>
      <c r="B2876" s="2" t="s">
        <v>1054</v>
      </c>
      <c r="C2876" s="5" t="s">
        <v>4448</v>
      </c>
      <c r="D2876" s="2" t="s">
        <v>4449</v>
      </c>
    </row>
    <row r="2877" spans="1:4" ht="13.05" customHeight="1" x14ac:dyDescent="0.3">
      <c r="A2877" s="2" t="s">
        <v>432</v>
      </c>
      <c r="B2877" s="2" t="s">
        <v>1054</v>
      </c>
      <c r="C2877" s="5" t="s">
        <v>4450</v>
      </c>
      <c r="D2877" s="2" t="s">
        <v>3333</v>
      </c>
    </row>
    <row r="2878" spans="1:4" ht="13.05" customHeight="1" x14ac:dyDescent="0.3">
      <c r="A2878" s="2" t="s">
        <v>432</v>
      </c>
      <c r="B2878" s="2" t="s">
        <v>1054</v>
      </c>
      <c r="C2878" s="5" t="s">
        <v>4451</v>
      </c>
      <c r="D2878" s="2" t="s">
        <v>3335</v>
      </c>
    </row>
    <row r="2879" spans="1:4" ht="13.05" customHeight="1" x14ac:dyDescent="0.3">
      <c r="A2879" s="2" t="s">
        <v>432</v>
      </c>
      <c r="B2879" s="2" t="s">
        <v>1054</v>
      </c>
      <c r="C2879" s="5" t="s">
        <v>4452</v>
      </c>
      <c r="D2879" s="2" t="s">
        <v>4453</v>
      </c>
    </row>
    <row r="2880" spans="1:4" ht="13.05" customHeight="1" x14ac:dyDescent="0.3">
      <c r="A2880" s="2" t="s">
        <v>432</v>
      </c>
      <c r="B2880" s="2" t="s">
        <v>1054</v>
      </c>
      <c r="C2880" s="5" t="s">
        <v>4454</v>
      </c>
      <c r="D2880" s="2" t="s">
        <v>4455</v>
      </c>
    </row>
    <row r="2881" spans="1:4" ht="13.05" customHeight="1" x14ac:dyDescent="0.3">
      <c r="A2881" s="2" t="s">
        <v>432</v>
      </c>
      <c r="B2881" s="2" t="s">
        <v>1054</v>
      </c>
      <c r="C2881" s="5" t="s">
        <v>4456</v>
      </c>
      <c r="D2881" s="2" t="s">
        <v>4457</v>
      </c>
    </row>
    <row r="2882" spans="1:4" ht="13.05" customHeight="1" x14ac:dyDescent="0.3">
      <c r="A2882" s="2" t="s">
        <v>432</v>
      </c>
      <c r="B2882" s="2" t="s">
        <v>1054</v>
      </c>
      <c r="C2882" s="5" t="s">
        <v>4458</v>
      </c>
      <c r="D2882" s="2" t="s">
        <v>4459</v>
      </c>
    </row>
    <row r="2883" spans="1:4" ht="13.05" customHeight="1" x14ac:dyDescent="0.3">
      <c r="A2883" s="2" t="s">
        <v>432</v>
      </c>
      <c r="B2883" s="2" t="s">
        <v>1054</v>
      </c>
      <c r="C2883" s="5" t="s">
        <v>4460</v>
      </c>
      <c r="D2883" s="2" t="s">
        <v>4461</v>
      </c>
    </row>
    <row r="2884" spans="1:4" ht="13.05" customHeight="1" x14ac:dyDescent="0.3">
      <c r="A2884" s="2" t="s">
        <v>432</v>
      </c>
      <c r="B2884" s="2" t="s">
        <v>1054</v>
      </c>
      <c r="C2884" s="5" t="s">
        <v>4462</v>
      </c>
      <c r="D2884" s="2" t="s">
        <v>4463</v>
      </c>
    </row>
    <row r="2885" spans="1:4" ht="13.05" customHeight="1" x14ac:dyDescent="0.3">
      <c r="A2885" s="2" t="s">
        <v>432</v>
      </c>
      <c r="B2885" s="2" t="s">
        <v>1054</v>
      </c>
      <c r="C2885" s="5" t="s">
        <v>4464</v>
      </c>
      <c r="D2885" s="2" t="s">
        <v>4465</v>
      </c>
    </row>
    <row r="2886" spans="1:4" ht="13.05" customHeight="1" x14ac:dyDescent="0.3">
      <c r="A2886" s="2" t="s">
        <v>432</v>
      </c>
      <c r="B2886" s="2" t="s">
        <v>1054</v>
      </c>
      <c r="C2886" s="5" t="s">
        <v>4466</v>
      </c>
      <c r="D2886" s="2" t="s">
        <v>4467</v>
      </c>
    </row>
    <row r="2887" spans="1:4" ht="13.05" customHeight="1" x14ac:dyDescent="0.3">
      <c r="A2887" s="2" t="s">
        <v>432</v>
      </c>
      <c r="B2887" s="2" t="s">
        <v>1054</v>
      </c>
      <c r="C2887" s="5" t="s">
        <v>4468</v>
      </c>
      <c r="D2887" s="2" t="s">
        <v>4469</v>
      </c>
    </row>
    <row r="2888" spans="1:4" ht="13.05" customHeight="1" x14ac:dyDescent="0.3">
      <c r="A2888" s="2" t="s">
        <v>432</v>
      </c>
      <c r="B2888" s="2" t="s">
        <v>1054</v>
      </c>
      <c r="C2888" s="5" t="s">
        <v>4470</v>
      </c>
      <c r="D2888" s="2" t="s">
        <v>4471</v>
      </c>
    </row>
    <row r="2889" spans="1:4" ht="13.05" customHeight="1" x14ac:dyDescent="0.3">
      <c r="A2889" s="2" t="s">
        <v>432</v>
      </c>
      <c r="B2889" s="2" t="s">
        <v>1054</v>
      </c>
      <c r="C2889" s="5" t="s">
        <v>4472</v>
      </c>
      <c r="D2889" s="2" t="s">
        <v>4473</v>
      </c>
    </row>
    <row r="2890" spans="1:4" ht="13.05" customHeight="1" x14ac:dyDescent="0.3">
      <c r="A2890" s="2" t="s">
        <v>432</v>
      </c>
      <c r="B2890" s="2" t="s">
        <v>1054</v>
      </c>
      <c r="C2890" s="5" t="s">
        <v>4474</v>
      </c>
      <c r="D2890" s="2" t="s">
        <v>4475</v>
      </c>
    </row>
    <row r="2891" spans="1:4" ht="13.05" customHeight="1" x14ac:dyDescent="0.3">
      <c r="A2891" s="2" t="s">
        <v>432</v>
      </c>
      <c r="B2891" s="2" t="s">
        <v>1054</v>
      </c>
      <c r="C2891" s="5" t="s">
        <v>4476</v>
      </c>
      <c r="D2891" s="2" t="s">
        <v>4477</v>
      </c>
    </row>
    <row r="2892" spans="1:4" ht="13.05" customHeight="1" x14ac:dyDescent="0.3">
      <c r="A2892" s="2" t="s">
        <v>432</v>
      </c>
      <c r="B2892" s="2" t="s">
        <v>1054</v>
      </c>
      <c r="C2892" s="5" t="s">
        <v>4478</v>
      </c>
      <c r="D2892" s="2" t="s">
        <v>4479</v>
      </c>
    </row>
    <row r="2893" spans="1:4" ht="13.05" customHeight="1" x14ac:dyDescent="0.3">
      <c r="A2893" s="2" t="s">
        <v>432</v>
      </c>
      <c r="B2893" s="2" t="s">
        <v>1054</v>
      </c>
      <c r="C2893" s="5" t="s">
        <v>4480</v>
      </c>
      <c r="D2893" s="2" t="s">
        <v>4481</v>
      </c>
    </row>
    <row r="2894" spans="1:4" ht="13.05" customHeight="1" x14ac:dyDescent="0.3">
      <c r="A2894" s="2" t="s">
        <v>432</v>
      </c>
      <c r="B2894" s="2" t="s">
        <v>1054</v>
      </c>
      <c r="C2894" s="5" t="s">
        <v>4482</v>
      </c>
      <c r="D2894" s="2" t="s">
        <v>4483</v>
      </c>
    </row>
    <row r="2895" spans="1:4" ht="13.05" customHeight="1" x14ac:dyDescent="0.3">
      <c r="A2895" s="2" t="s">
        <v>432</v>
      </c>
      <c r="B2895" s="2" t="s">
        <v>1054</v>
      </c>
      <c r="C2895" s="5" t="s">
        <v>4484</v>
      </c>
      <c r="D2895" s="2" t="s">
        <v>4485</v>
      </c>
    </row>
    <row r="2896" spans="1:4" ht="13.05" customHeight="1" x14ac:dyDescent="0.3">
      <c r="A2896" s="2" t="s">
        <v>432</v>
      </c>
      <c r="B2896" s="2" t="s">
        <v>1054</v>
      </c>
      <c r="C2896" s="5" t="s">
        <v>4486</v>
      </c>
      <c r="D2896" s="2" t="s">
        <v>4487</v>
      </c>
    </row>
    <row r="2897" spans="1:4" ht="13.05" customHeight="1" x14ac:dyDescent="0.3">
      <c r="A2897" s="2" t="s">
        <v>432</v>
      </c>
      <c r="B2897" s="2" t="s">
        <v>1054</v>
      </c>
      <c r="C2897" s="5" t="s">
        <v>4488</v>
      </c>
      <c r="D2897" s="2" t="s">
        <v>4489</v>
      </c>
    </row>
    <row r="2898" spans="1:4" ht="13.05" customHeight="1" x14ac:dyDescent="0.3">
      <c r="A2898" s="2" t="s">
        <v>432</v>
      </c>
      <c r="B2898" s="2" t="s">
        <v>1054</v>
      </c>
      <c r="C2898" s="5" t="s">
        <v>4490</v>
      </c>
      <c r="D2898" s="2" t="s">
        <v>3445</v>
      </c>
    </row>
    <row r="2899" spans="1:4" ht="13.05" customHeight="1" x14ac:dyDescent="0.3">
      <c r="A2899" s="2" t="s">
        <v>432</v>
      </c>
      <c r="B2899" s="2" t="s">
        <v>1054</v>
      </c>
      <c r="C2899" s="5" t="s">
        <v>4491</v>
      </c>
      <c r="D2899" s="2" t="s">
        <v>3447</v>
      </c>
    </row>
    <row r="2900" spans="1:4" ht="13.05" customHeight="1" x14ac:dyDescent="0.3">
      <c r="A2900" s="2" t="s">
        <v>432</v>
      </c>
      <c r="B2900" s="2" t="s">
        <v>1054</v>
      </c>
      <c r="C2900" s="5" t="s">
        <v>4492</v>
      </c>
      <c r="D2900" s="2" t="s">
        <v>4493</v>
      </c>
    </row>
    <row r="2901" spans="1:4" ht="13.05" customHeight="1" x14ac:dyDescent="0.3">
      <c r="A2901" s="2" t="s">
        <v>432</v>
      </c>
      <c r="B2901" s="2" t="s">
        <v>1054</v>
      </c>
      <c r="C2901" s="5" t="s">
        <v>4494</v>
      </c>
      <c r="D2901" s="2" t="s">
        <v>4495</v>
      </c>
    </row>
    <row r="2902" spans="1:4" ht="13.05" customHeight="1" x14ac:dyDescent="0.3">
      <c r="A2902" s="2" t="s">
        <v>432</v>
      </c>
      <c r="B2902" s="2" t="s">
        <v>1054</v>
      </c>
      <c r="C2902" s="5" t="s">
        <v>4496</v>
      </c>
      <c r="D2902" s="2" t="s">
        <v>4497</v>
      </c>
    </row>
    <row r="2903" spans="1:4" ht="13.05" customHeight="1" x14ac:dyDescent="0.3">
      <c r="A2903" s="2" t="s">
        <v>432</v>
      </c>
      <c r="B2903" s="2" t="s">
        <v>1054</v>
      </c>
      <c r="C2903" s="5" t="s">
        <v>4498</v>
      </c>
      <c r="D2903" s="2" t="s">
        <v>4258</v>
      </c>
    </row>
    <row r="2904" spans="1:4" ht="13.05" customHeight="1" x14ac:dyDescent="0.3">
      <c r="A2904" s="2" t="s">
        <v>432</v>
      </c>
      <c r="B2904" s="2" t="s">
        <v>1054</v>
      </c>
      <c r="C2904" s="5" t="s">
        <v>4499</v>
      </c>
      <c r="D2904" s="2" t="s">
        <v>4500</v>
      </c>
    </row>
    <row r="2905" spans="1:4" ht="13.05" customHeight="1" x14ac:dyDescent="0.3">
      <c r="A2905" s="2" t="s">
        <v>432</v>
      </c>
      <c r="B2905" s="2" t="s">
        <v>1054</v>
      </c>
      <c r="C2905" s="5" t="s">
        <v>4501</v>
      </c>
      <c r="D2905" s="2" t="s">
        <v>4502</v>
      </c>
    </row>
    <row r="2906" spans="1:4" ht="13.05" customHeight="1" x14ac:dyDescent="0.3">
      <c r="A2906" s="2" t="s">
        <v>432</v>
      </c>
      <c r="B2906" s="2" t="s">
        <v>1054</v>
      </c>
      <c r="C2906" s="5" t="s">
        <v>4503</v>
      </c>
      <c r="D2906" s="2" t="s">
        <v>4504</v>
      </c>
    </row>
    <row r="2907" spans="1:4" ht="13.05" customHeight="1" x14ac:dyDescent="0.3">
      <c r="A2907" s="2" t="s">
        <v>432</v>
      </c>
      <c r="B2907" s="2" t="s">
        <v>1054</v>
      </c>
      <c r="C2907" s="5" t="s">
        <v>4505</v>
      </c>
      <c r="D2907" s="2" t="s">
        <v>4506</v>
      </c>
    </row>
    <row r="2908" spans="1:4" ht="13.05" customHeight="1" x14ac:dyDescent="0.3">
      <c r="A2908" s="2" t="s">
        <v>432</v>
      </c>
      <c r="B2908" s="2" t="s">
        <v>1054</v>
      </c>
      <c r="C2908" s="5" t="s">
        <v>4507</v>
      </c>
      <c r="D2908" s="2" t="s">
        <v>4508</v>
      </c>
    </row>
    <row r="2909" spans="1:4" ht="13.05" customHeight="1" x14ac:dyDescent="0.3">
      <c r="A2909" s="2" t="s">
        <v>432</v>
      </c>
      <c r="B2909" s="2" t="s">
        <v>1054</v>
      </c>
      <c r="C2909" s="5" t="s">
        <v>4509</v>
      </c>
      <c r="D2909" s="2" t="s">
        <v>4510</v>
      </c>
    </row>
    <row r="2910" spans="1:4" ht="13.05" customHeight="1" x14ac:dyDescent="0.3">
      <c r="A2910" s="2" t="s">
        <v>432</v>
      </c>
      <c r="B2910" s="2" t="s">
        <v>1054</v>
      </c>
      <c r="C2910" s="5" t="s">
        <v>4511</v>
      </c>
      <c r="D2910" s="2" t="s">
        <v>4512</v>
      </c>
    </row>
    <row r="2911" spans="1:4" ht="13.05" customHeight="1" x14ac:dyDescent="0.3">
      <c r="A2911" s="2" t="s">
        <v>432</v>
      </c>
      <c r="B2911" s="2" t="s">
        <v>1054</v>
      </c>
      <c r="C2911" s="5" t="s">
        <v>4513</v>
      </c>
      <c r="D2911" s="2" t="s">
        <v>4514</v>
      </c>
    </row>
    <row r="2912" spans="1:4" ht="13.05" customHeight="1" x14ac:dyDescent="0.3">
      <c r="A2912" s="2" t="s">
        <v>432</v>
      </c>
      <c r="B2912" s="2" t="s">
        <v>1054</v>
      </c>
      <c r="C2912" s="5" t="s">
        <v>4515</v>
      </c>
      <c r="D2912" s="2" t="s">
        <v>4516</v>
      </c>
    </row>
    <row r="2913" spans="1:4" ht="13.05" customHeight="1" x14ac:dyDescent="0.3">
      <c r="A2913" s="2" t="s">
        <v>432</v>
      </c>
      <c r="B2913" s="2" t="s">
        <v>1054</v>
      </c>
      <c r="C2913" s="5" t="s">
        <v>4517</v>
      </c>
      <c r="D2913" s="2" t="s">
        <v>4518</v>
      </c>
    </row>
    <row r="2914" spans="1:4" ht="13.05" customHeight="1" x14ac:dyDescent="0.3">
      <c r="A2914" s="2" t="s">
        <v>432</v>
      </c>
      <c r="B2914" s="2" t="s">
        <v>1054</v>
      </c>
      <c r="C2914" s="5" t="s">
        <v>4519</v>
      </c>
      <c r="D2914" s="2" t="s">
        <v>4520</v>
      </c>
    </row>
    <row r="2915" spans="1:4" ht="13.05" customHeight="1" x14ac:dyDescent="0.3">
      <c r="A2915" s="2" t="s">
        <v>432</v>
      </c>
      <c r="B2915" s="2" t="s">
        <v>1054</v>
      </c>
      <c r="C2915" s="5" t="s">
        <v>4521</v>
      </c>
      <c r="D2915" s="2" t="s">
        <v>4522</v>
      </c>
    </row>
    <row r="2916" spans="1:4" ht="13.05" customHeight="1" x14ac:dyDescent="0.3">
      <c r="A2916" s="2" t="s">
        <v>432</v>
      </c>
      <c r="B2916" s="2" t="s">
        <v>1054</v>
      </c>
      <c r="C2916" s="5" t="s">
        <v>4523</v>
      </c>
      <c r="D2916" s="2" t="s">
        <v>4524</v>
      </c>
    </row>
    <row r="2917" spans="1:4" ht="13.05" customHeight="1" x14ac:dyDescent="0.3">
      <c r="A2917" s="2" t="s">
        <v>432</v>
      </c>
      <c r="B2917" s="2" t="s">
        <v>1054</v>
      </c>
      <c r="C2917" s="5" t="s">
        <v>4525</v>
      </c>
      <c r="D2917" s="2" t="s">
        <v>4526</v>
      </c>
    </row>
    <row r="2918" spans="1:4" ht="13.05" customHeight="1" x14ac:dyDescent="0.3">
      <c r="A2918" s="2" t="s">
        <v>432</v>
      </c>
      <c r="B2918" s="2" t="s">
        <v>1054</v>
      </c>
      <c r="C2918" s="5" t="s">
        <v>4527</v>
      </c>
      <c r="D2918" s="2" t="s">
        <v>4528</v>
      </c>
    </row>
    <row r="2919" spans="1:4" ht="13.05" customHeight="1" x14ac:dyDescent="0.3">
      <c r="A2919" s="2" t="s">
        <v>432</v>
      </c>
      <c r="B2919" s="2" t="s">
        <v>1054</v>
      </c>
      <c r="C2919" s="5" t="s">
        <v>4529</v>
      </c>
      <c r="D2919" s="2" t="s">
        <v>4530</v>
      </c>
    </row>
    <row r="2920" spans="1:4" ht="13.05" customHeight="1" x14ac:dyDescent="0.3">
      <c r="A2920" s="2" t="s">
        <v>432</v>
      </c>
      <c r="B2920" s="2" t="s">
        <v>1054</v>
      </c>
      <c r="C2920" s="5" t="s">
        <v>4531</v>
      </c>
      <c r="D2920" s="2" t="s">
        <v>4532</v>
      </c>
    </row>
    <row r="2921" spans="1:4" ht="13.05" customHeight="1" x14ac:dyDescent="0.3">
      <c r="A2921" s="2" t="s">
        <v>432</v>
      </c>
      <c r="B2921" s="2" t="s">
        <v>1054</v>
      </c>
      <c r="C2921" s="5" t="s">
        <v>4533</v>
      </c>
      <c r="D2921" s="2" t="s">
        <v>4534</v>
      </c>
    </row>
    <row r="2922" spans="1:4" ht="13.05" customHeight="1" x14ac:dyDescent="0.3">
      <c r="A2922" s="2" t="s">
        <v>432</v>
      </c>
      <c r="B2922" s="2" t="s">
        <v>1054</v>
      </c>
      <c r="C2922" s="5" t="s">
        <v>4535</v>
      </c>
      <c r="D2922" s="2" t="s">
        <v>4536</v>
      </c>
    </row>
    <row r="2923" spans="1:4" ht="13.05" customHeight="1" x14ac:dyDescent="0.3">
      <c r="A2923" s="2" t="s">
        <v>432</v>
      </c>
      <c r="B2923" s="2" t="s">
        <v>1054</v>
      </c>
      <c r="C2923" s="5" t="s">
        <v>4537</v>
      </c>
      <c r="D2923" s="2" t="s">
        <v>4538</v>
      </c>
    </row>
    <row r="2924" spans="1:4" ht="13.05" customHeight="1" x14ac:dyDescent="0.3">
      <c r="A2924" s="2" t="s">
        <v>432</v>
      </c>
      <c r="B2924" s="2" t="s">
        <v>1054</v>
      </c>
      <c r="C2924" s="5" t="s">
        <v>4539</v>
      </c>
      <c r="D2924" s="2" t="s">
        <v>4540</v>
      </c>
    </row>
    <row r="2925" spans="1:4" ht="13.05" customHeight="1" x14ac:dyDescent="0.3">
      <c r="A2925" s="2" t="s">
        <v>432</v>
      </c>
      <c r="B2925" s="2" t="s">
        <v>1054</v>
      </c>
      <c r="C2925" s="5" t="s">
        <v>4541</v>
      </c>
      <c r="D2925" s="2" t="s">
        <v>4542</v>
      </c>
    </row>
    <row r="2926" spans="1:4" ht="13.05" customHeight="1" x14ac:dyDescent="0.3">
      <c r="A2926" s="2" t="s">
        <v>432</v>
      </c>
      <c r="B2926" s="2" t="s">
        <v>1054</v>
      </c>
      <c r="C2926" s="5" t="s">
        <v>4543</v>
      </c>
      <c r="D2926" s="2" t="s">
        <v>4544</v>
      </c>
    </row>
    <row r="2927" spans="1:4" ht="13.05" customHeight="1" x14ac:dyDescent="0.3">
      <c r="A2927" s="2" t="s">
        <v>432</v>
      </c>
      <c r="B2927" s="2" t="s">
        <v>1054</v>
      </c>
      <c r="C2927" s="5" t="s">
        <v>4545</v>
      </c>
      <c r="D2927" s="2" t="s">
        <v>4546</v>
      </c>
    </row>
    <row r="2928" spans="1:4" ht="13.05" customHeight="1" x14ac:dyDescent="0.3">
      <c r="A2928" s="2" t="s">
        <v>432</v>
      </c>
      <c r="B2928" s="2" t="s">
        <v>1054</v>
      </c>
      <c r="C2928" s="5" t="s">
        <v>4547</v>
      </c>
      <c r="D2928" s="2" t="s">
        <v>4548</v>
      </c>
    </row>
    <row r="2929" spans="1:4" ht="13.05" customHeight="1" x14ac:dyDescent="0.3">
      <c r="A2929" s="2" t="s">
        <v>432</v>
      </c>
      <c r="B2929" s="2" t="s">
        <v>1054</v>
      </c>
      <c r="C2929" s="5" t="s">
        <v>4549</v>
      </c>
      <c r="D2929" s="2" t="s">
        <v>4550</v>
      </c>
    </row>
    <row r="2930" spans="1:4" ht="13.05" customHeight="1" x14ac:dyDescent="0.3">
      <c r="A2930" s="2" t="s">
        <v>432</v>
      </c>
      <c r="B2930" s="2" t="s">
        <v>1054</v>
      </c>
      <c r="C2930" s="5" t="s">
        <v>4551</v>
      </c>
      <c r="D2930" s="2" t="s">
        <v>4552</v>
      </c>
    </row>
    <row r="2931" spans="1:4" ht="13.05" customHeight="1" x14ac:dyDescent="0.3">
      <c r="A2931" s="2" t="s">
        <v>432</v>
      </c>
      <c r="B2931" s="2" t="s">
        <v>1054</v>
      </c>
      <c r="C2931" s="5" t="s">
        <v>4553</v>
      </c>
      <c r="D2931" s="2" t="s">
        <v>4554</v>
      </c>
    </row>
    <row r="2932" spans="1:4" ht="13.05" customHeight="1" x14ac:dyDescent="0.3">
      <c r="A2932" s="2" t="s">
        <v>432</v>
      </c>
      <c r="B2932" s="2" t="s">
        <v>1054</v>
      </c>
      <c r="C2932" s="5" t="s">
        <v>4555</v>
      </c>
      <c r="D2932" s="2" t="s">
        <v>4556</v>
      </c>
    </row>
    <row r="2933" spans="1:4" ht="13.05" customHeight="1" x14ac:dyDescent="0.3">
      <c r="A2933" s="2" t="s">
        <v>432</v>
      </c>
      <c r="B2933" s="2" t="s">
        <v>1054</v>
      </c>
      <c r="C2933" s="5" t="s">
        <v>4557</v>
      </c>
      <c r="D2933" s="2" t="s">
        <v>4558</v>
      </c>
    </row>
    <row r="2934" spans="1:4" ht="13.05" customHeight="1" x14ac:dyDescent="0.3">
      <c r="A2934" s="2" t="s">
        <v>432</v>
      </c>
      <c r="B2934" s="2" t="s">
        <v>1054</v>
      </c>
      <c r="C2934" s="5" t="s">
        <v>4559</v>
      </c>
      <c r="D2934" s="2" t="s">
        <v>4560</v>
      </c>
    </row>
    <row r="2935" spans="1:4" ht="13.05" customHeight="1" x14ac:dyDescent="0.3">
      <c r="A2935" s="2" t="s">
        <v>432</v>
      </c>
      <c r="B2935" s="2" t="s">
        <v>1054</v>
      </c>
      <c r="C2935" s="5" t="s">
        <v>4561</v>
      </c>
      <c r="D2935" s="2" t="s">
        <v>4562</v>
      </c>
    </row>
    <row r="2936" spans="1:4" ht="13.05" customHeight="1" x14ac:dyDescent="0.3">
      <c r="A2936" s="2" t="s">
        <v>432</v>
      </c>
      <c r="B2936" s="2" t="s">
        <v>1054</v>
      </c>
      <c r="C2936" s="5" t="s">
        <v>4563</v>
      </c>
      <c r="D2936" s="2" t="s">
        <v>4564</v>
      </c>
    </row>
    <row r="2937" spans="1:4" ht="13.05" customHeight="1" x14ac:dyDescent="0.3">
      <c r="A2937" s="2" t="s">
        <v>432</v>
      </c>
      <c r="B2937" s="2" t="s">
        <v>1054</v>
      </c>
      <c r="C2937" s="5" t="s">
        <v>4565</v>
      </c>
      <c r="D2937" s="2" t="s">
        <v>4566</v>
      </c>
    </row>
    <row r="2938" spans="1:4" ht="13.05" customHeight="1" x14ac:dyDescent="0.3">
      <c r="A2938" s="2" t="s">
        <v>432</v>
      </c>
      <c r="B2938" s="2" t="s">
        <v>1054</v>
      </c>
      <c r="C2938" s="5" t="s">
        <v>4567</v>
      </c>
      <c r="D2938" s="2" t="s">
        <v>4568</v>
      </c>
    </row>
    <row r="2939" spans="1:4" ht="13.05" customHeight="1" x14ac:dyDescent="0.3">
      <c r="A2939" s="2" t="s">
        <v>432</v>
      </c>
      <c r="B2939" s="2" t="s">
        <v>1054</v>
      </c>
      <c r="C2939" s="5" t="s">
        <v>4569</v>
      </c>
      <c r="D2939" s="2" t="s">
        <v>4570</v>
      </c>
    </row>
    <row r="2940" spans="1:4" ht="13.05" customHeight="1" x14ac:dyDescent="0.3">
      <c r="A2940" s="2" t="s">
        <v>432</v>
      </c>
      <c r="B2940" s="2" t="s">
        <v>1054</v>
      </c>
      <c r="C2940" s="5" t="s">
        <v>4571</v>
      </c>
      <c r="D2940" s="2" t="s">
        <v>4572</v>
      </c>
    </row>
    <row r="2941" spans="1:4" ht="13.05" customHeight="1" x14ac:dyDescent="0.3">
      <c r="A2941" s="2" t="s">
        <v>432</v>
      </c>
      <c r="B2941" s="2" t="s">
        <v>1054</v>
      </c>
      <c r="C2941" s="5" t="s">
        <v>4573</v>
      </c>
      <c r="D2941" s="2" t="s">
        <v>4574</v>
      </c>
    </row>
    <row r="2942" spans="1:4" ht="13.05" customHeight="1" x14ac:dyDescent="0.3">
      <c r="A2942" s="2" t="s">
        <v>432</v>
      </c>
      <c r="B2942" s="2" t="s">
        <v>1054</v>
      </c>
      <c r="C2942" s="5" t="s">
        <v>4575</v>
      </c>
      <c r="D2942" s="2" t="s">
        <v>4576</v>
      </c>
    </row>
    <row r="2943" spans="1:4" ht="13.05" customHeight="1" x14ac:dyDescent="0.3">
      <c r="A2943" s="2" t="s">
        <v>432</v>
      </c>
      <c r="B2943" s="2" t="s">
        <v>1054</v>
      </c>
      <c r="C2943" s="5" t="s">
        <v>4577</v>
      </c>
      <c r="D2943" s="2" t="s">
        <v>4578</v>
      </c>
    </row>
    <row r="2944" spans="1:4" ht="13.05" customHeight="1" x14ac:dyDescent="0.3">
      <c r="A2944" s="2" t="s">
        <v>432</v>
      </c>
      <c r="B2944" s="2" t="s">
        <v>1054</v>
      </c>
      <c r="C2944" s="5" t="s">
        <v>4579</v>
      </c>
      <c r="D2944" s="2" t="s">
        <v>4580</v>
      </c>
    </row>
    <row r="2945" spans="1:4" ht="13.05" customHeight="1" x14ac:dyDescent="0.3">
      <c r="A2945" s="2" t="s">
        <v>432</v>
      </c>
      <c r="B2945" s="2" t="s">
        <v>1054</v>
      </c>
      <c r="C2945" s="5" t="s">
        <v>4581</v>
      </c>
      <c r="D2945" s="2" t="s">
        <v>4582</v>
      </c>
    </row>
    <row r="2946" spans="1:4" ht="13.05" customHeight="1" x14ac:dyDescent="0.3">
      <c r="A2946" s="2" t="s">
        <v>432</v>
      </c>
      <c r="B2946" s="2" t="s">
        <v>1054</v>
      </c>
      <c r="C2946" s="5" t="s">
        <v>4583</v>
      </c>
      <c r="D2946" s="2" t="s">
        <v>4584</v>
      </c>
    </row>
    <row r="2947" spans="1:4" ht="13.05" customHeight="1" x14ac:dyDescent="0.3">
      <c r="A2947" s="2" t="s">
        <v>432</v>
      </c>
      <c r="B2947" s="2" t="s">
        <v>1054</v>
      </c>
      <c r="C2947" s="5" t="s">
        <v>4585</v>
      </c>
      <c r="D2947" s="2" t="s">
        <v>4586</v>
      </c>
    </row>
    <row r="2948" spans="1:4" ht="13.05" customHeight="1" x14ac:dyDescent="0.3">
      <c r="A2948" s="2" t="s">
        <v>432</v>
      </c>
      <c r="B2948" s="2" t="s">
        <v>1054</v>
      </c>
      <c r="C2948" s="5" t="s">
        <v>4587</v>
      </c>
      <c r="D2948" s="2" t="s">
        <v>4588</v>
      </c>
    </row>
    <row r="2949" spans="1:4" ht="13.05" customHeight="1" x14ac:dyDescent="0.3">
      <c r="A2949" s="2" t="s">
        <v>432</v>
      </c>
      <c r="B2949" s="2" t="s">
        <v>1054</v>
      </c>
      <c r="C2949" s="5" t="s">
        <v>4589</v>
      </c>
      <c r="D2949" s="2" t="s">
        <v>3365</v>
      </c>
    </row>
    <row r="2950" spans="1:4" ht="13.05" customHeight="1" x14ac:dyDescent="0.3">
      <c r="A2950" s="2" t="s">
        <v>432</v>
      </c>
      <c r="B2950" s="2" t="s">
        <v>1054</v>
      </c>
      <c r="C2950" s="5" t="s">
        <v>4590</v>
      </c>
      <c r="D2950" s="2" t="s">
        <v>3389</v>
      </c>
    </row>
    <row r="2951" spans="1:4" ht="13.05" customHeight="1" x14ac:dyDescent="0.3">
      <c r="A2951" s="2" t="s">
        <v>432</v>
      </c>
      <c r="B2951" s="2" t="s">
        <v>1054</v>
      </c>
      <c r="C2951" s="5" t="s">
        <v>4591</v>
      </c>
      <c r="D2951" s="2" t="s">
        <v>3566</v>
      </c>
    </row>
    <row r="2952" spans="1:4" ht="13.05" customHeight="1" x14ac:dyDescent="0.3">
      <c r="A2952" s="2" t="s">
        <v>432</v>
      </c>
      <c r="B2952" s="2" t="s">
        <v>1054</v>
      </c>
      <c r="C2952" s="5" t="s">
        <v>4592</v>
      </c>
      <c r="D2952" s="2" t="s">
        <v>3574</v>
      </c>
    </row>
    <row r="2953" spans="1:4" ht="13.05" customHeight="1" x14ac:dyDescent="0.3">
      <c r="A2953" s="2" t="s">
        <v>432</v>
      </c>
      <c r="B2953" s="2" t="s">
        <v>1054</v>
      </c>
      <c r="C2953" s="5" t="s">
        <v>4593</v>
      </c>
      <c r="D2953" s="2" t="s">
        <v>3393</v>
      </c>
    </row>
    <row r="2954" spans="1:4" ht="13.05" customHeight="1" x14ac:dyDescent="0.3">
      <c r="A2954" s="2" t="s">
        <v>432</v>
      </c>
      <c r="B2954" s="2" t="s">
        <v>1054</v>
      </c>
      <c r="C2954" s="5" t="s">
        <v>4594</v>
      </c>
      <c r="D2954" s="2" t="s">
        <v>4595</v>
      </c>
    </row>
    <row r="2955" spans="1:4" ht="13.05" customHeight="1" x14ac:dyDescent="0.3">
      <c r="A2955" s="2" t="s">
        <v>432</v>
      </c>
      <c r="B2955" s="2" t="s">
        <v>1054</v>
      </c>
      <c r="C2955" s="5" t="s">
        <v>4596</v>
      </c>
      <c r="D2955" s="2" t="s">
        <v>4597</v>
      </c>
    </row>
    <row r="2956" spans="1:4" ht="13.05" customHeight="1" x14ac:dyDescent="0.3">
      <c r="A2956" s="2" t="s">
        <v>432</v>
      </c>
      <c r="B2956" s="2" t="s">
        <v>1054</v>
      </c>
      <c r="C2956" s="5" t="s">
        <v>4598</v>
      </c>
      <c r="D2956" s="2" t="s">
        <v>4599</v>
      </c>
    </row>
    <row r="2957" spans="1:4" ht="13.05" customHeight="1" x14ac:dyDescent="0.3">
      <c r="A2957" s="2" t="s">
        <v>432</v>
      </c>
      <c r="B2957" s="2" t="s">
        <v>1054</v>
      </c>
      <c r="C2957" s="5" t="s">
        <v>4600</v>
      </c>
      <c r="D2957" s="2" t="s">
        <v>4601</v>
      </c>
    </row>
    <row r="2958" spans="1:4" ht="13.05" customHeight="1" x14ac:dyDescent="0.3">
      <c r="A2958" s="2" t="s">
        <v>432</v>
      </c>
      <c r="B2958" s="2" t="s">
        <v>1054</v>
      </c>
      <c r="C2958" s="5" t="s">
        <v>4602</v>
      </c>
      <c r="D2958" s="2" t="s">
        <v>4603</v>
      </c>
    </row>
    <row r="2959" spans="1:4" ht="13.05" customHeight="1" x14ac:dyDescent="0.3">
      <c r="A2959" s="2" t="s">
        <v>432</v>
      </c>
      <c r="B2959" s="2" t="s">
        <v>1054</v>
      </c>
      <c r="C2959" s="5" t="s">
        <v>4604</v>
      </c>
      <c r="D2959" s="2" t="s">
        <v>4605</v>
      </c>
    </row>
    <row r="2960" spans="1:4" ht="13.05" customHeight="1" x14ac:dyDescent="0.3">
      <c r="A2960" s="2" t="s">
        <v>432</v>
      </c>
      <c r="B2960" s="2" t="s">
        <v>1054</v>
      </c>
      <c r="C2960" s="5" t="s">
        <v>4606</v>
      </c>
      <c r="D2960" s="2" t="s">
        <v>4607</v>
      </c>
    </row>
    <row r="2961" spans="1:4" ht="13.05" customHeight="1" x14ac:dyDescent="0.3">
      <c r="A2961" s="2" t="s">
        <v>432</v>
      </c>
      <c r="B2961" s="2" t="s">
        <v>1054</v>
      </c>
      <c r="C2961" s="5" t="s">
        <v>4608</v>
      </c>
      <c r="D2961" s="2" t="s">
        <v>4609</v>
      </c>
    </row>
    <row r="2962" spans="1:4" ht="13.05" customHeight="1" x14ac:dyDescent="0.3">
      <c r="A2962" s="2" t="s">
        <v>432</v>
      </c>
      <c r="B2962" s="2" t="s">
        <v>1054</v>
      </c>
      <c r="C2962" s="5" t="s">
        <v>4610</v>
      </c>
      <c r="D2962" s="2" t="s">
        <v>4611</v>
      </c>
    </row>
    <row r="2963" spans="1:4" ht="13.05" customHeight="1" x14ac:dyDescent="0.3">
      <c r="A2963" s="2" t="s">
        <v>432</v>
      </c>
      <c r="B2963" s="2" t="s">
        <v>1054</v>
      </c>
      <c r="C2963" s="5" t="s">
        <v>4612</v>
      </c>
      <c r="D2963" s="2" t="s">
        <v>3445</v>
      </c>
    </row>
    <row r="2964" spans="1:4" ht="13.05" customHeight="1" x14ac:dyDescent="0.3">
      <c r="A2964" s="2" t="s">
        <v>432</v>
      </c>
      <c r="B2964" s="2" t="s">
        <v>1054</v>
      </c>
      <c r="C2964" s="5" t="s">
        <v>4613</v>
      </c>
      <c r="D2964" s="2" t="s">
        <v>3447</v>
      </c>
    </row>
    <row r="2965" spans="1:4" ht="13.05" customHeight="1" x14ac:dyDescent="0.3">
      <c r="A2965" s="2" t="s">
        <v>432</v>
      </c>
      <c r="B2965" s="2" t="s">
        <v>1054</v>
      </c>
      <c r="C2965" s="5" t="s">
        <v>4614</v>
      </c>
      <c r="D2965" s="2" t="s">
        <v>4615</v>
      </c>
    </row>
    <row r="2966" spans="1:4" ht="13.05" customHeight="1" x14ac:dyDescent="0.3">
      <c r="A2966" s="2" t="s">
        <v>432</v>
      </c>
      <c r="B2966" s="2" t="s">
        <v>1054</v>
      </c>
      <c r="C2966" s="5" t="s">
        <v>4616</v>
      </c>
      <c r="D2966" s="2" t="s">
        <v>4617</v>
      </c>
    </row>
    <row r="2967" spans="1:4" ht="13.05" customHeight="1" x14ac:dyDescent="0.3">
      <c r="A2967" s="2" t="s">
        <v>432</v>
      </c>
      <c r="B2967" s="2" t="s">
        <v>1054</v>
      </c>
      <c r="C2967" s="5" t="s">
        <v>4618</v>
      </c>
      <c r="D2967" s="2" t="s">
        <v>4258</v>
      </c>
    </row>
    <row r="2968" spans="1:4" ht="13.05" customHeight="1" x14ac:dyDescent="0.3">
      <c r="A2968" s="2" t="s">
        <v>432</v>
      </c>
      <c r="B2968" s="2" t="s">
        <v>1054</v>
      </c>
      <c r="C2968" s="5" t="s">
        <v>4619</v>
      </c>
      <c r="D2968" s="2" t="s">
        <v>3572</v>
      </c>
    </row>
    <row r="2969" spans="1:4" ht="13.05" customHeight="1" x14ac:dyDescent="0.3">
      <c r="A2969" s="2" t="s">
        <v>432</v>
      </c>
      <c r="B2969" s="2" t="s">
        <v>1054</v>
      </c>
      <c r="C2969" s="5" t="s">
        <v>4620</v>
      </c>
      <c r="D2969" s="2" t="s">
        <v>3574</v>
      </c>
    </row>
    <row r="2970" spans="1:4" ht="13.05" customHeight="1" x14ac:dyDescent="0.3">
      <c r="A2970" s="2" t="s">
        <v>432</v>
      </c>
      <c r="B2970" s="2" t="s">
        <v>1054</v>
      </c>
      <c r="C2970" s="5" t="s">
        <v>4621</v>
      </c>
      <c r="D2970" s="2" t="s">
        <v>3578</v>
      </c>
    </row>
    <row r="2971" spans="1:4" ht="13.05" customHeight="1" x14ac:dyDescent="0.3">
      <c r="A2971" s="2" t="s">
        <v>432</v>
      </c>
      <c r="B2971" s="2" t="s">
        <v>1054</v>
      </c>
      <c r="C2971" s="5" t="s">
        <v>4622</v>
      </c>
      <c r="D2971" s="2" t="s">
        <v>3393</v>
      </c>
    </row>
    <row r="2972" spans="1:4" ht="13.05" customHeight="1" x14ac:dyDescent="0.3">
      <c r="A2972" s="2" t="s">
        <v>432</v>
      </c>
      <c r="B2972" s="2" t="s">
        <v>1054</v>
      </c>
      <c r="C2972" s="5" t="s">
        <v>4623</v>
      </c>
      <c r="D2972" s="2" t="s">
        <v>3401</v>
      </c>
    </row>
    <row r="2973" spans="1:4" ht="13.05" customHeight="1" x14ac:dyDescent="0.3">
      <c r="A2973" s="2" t="s">
        <v>432</v>
      </c>
      <c r="B2973" s="2" t="s">
        <v>1054</v>
      </c>
      <c r="C2973" s="5" t="s">
        <v>4624</v>
      </c>
      <c r="D2973" s="2" t="s">
        <v>4625</v>
      </c>
    </row>
    <row r="2974" spans="1:4" ht="13.05" customHeight="1" x14ac:dyDescent="0.3">
      <c r="A2974" s="2" t="s">
        <v>432</v>
      </c>
      <c r="B2974" s="2" t="s">
        <v>1054</v>
      </c>
      <c r="C2974" s="5" t="s">
        <v>4626</v>
      </c>
      <c r="D2974" s="2" t="s">
        <v>4627</v>
      </c>
    </row>
    <row r="2975" spans="1:4" ht="13.05" customHeight="1" x14ac:dyDescent="0.3">
      <c r="A2975" s="2" t="s">
        <v>432</v>
      </c>
      <c r="B2975" s="2" t="s">
        <v>1054</v>
      </c>
      <c r="C2975" s="5" t="s">
        <v>4628</v>
      </c>
      <c r="D2975" s="2" t="s">
        <v>4629</v>
      </c>
    </row>
    <row r="2976" spans="1:4" ht="13.05" customHeight="1" x14ac:dyDescent="0.3">
      <c r="A2976" s="2" t="s">
        <v>432</v>
      </c>
      <c r="B2976" s="2" t="s">
        <v>1054</v>
      </c>
      <c r="C2976" s="5" t="s">
        <v>4630</v>
      </c>
      <c r="D2976" s="2" t="s">
        <v>4631</v>
      </c>
    </row>
    <row r="2977" spans="1:4" ht="13.05" customHeight="1" x14ac:dyDescent="0.3">
      <c r="A2977" s="2" t="s">
        <v>432</v>
      </c>
      <c r="B2977" s="2" t="s">
        <v>1054</v>
      </c>
      <c r="C2977" s="5" t="s">
        <v>4632</v>
      </c>
      <c r="D2977" s="2" t="s">
        <v>3483</v>
      </c>
    </row>
    <row r="2978" spans="1:4" ht="13.05" customHeight="1" x14ac:dyDescent="0.3">
      <c r="A2978" s="2" t="s">
        <v>432</v>
      </c>
      <c r="B2978" s="2" t="s">
        <v>1054</v>
      </c>
      <c r="C2978" s="5" t="s">
        <v>4633</v>
      </c>
      <c r="D2978" s="2" t="s">
        <v>4634</v>
      </c>
    </row>
    <row r="2979" spans="1:4" ht="13.05" customHeight="1" x14ac:dyDescent="0.3">
      <c r="A2979" s="2" t="s">
        <v>432</v>
      </c>
      <c r="B2979" s="2" t="s">
        <v>1054</v>
      </c>
      <c r="C2979" s="5" t="s">
        <v>4635</v>
      </c>
      <c r="D2979" s="2" t="s">
        <v>4636</v>
      </c>
    </row>
    <row r="2980" spans="1:4" ht="13.05" customHeight="1" x14ac:dyDescent="0.3">
      <c r="A2980" s="2" t="s">
        <v>432</v>
      </c>
      <c r="B2980" s="2" t="s">
        <v>1054</v>
      </c>
      <c r="C2980" s="5" t="s">
        <v>4637</v>
      </c>
      <c r="D2980" s="2" t="s">
        <v>4638</v>
      </c>
    </row>
    <row r="2981" spans="1:4" ht="13.05" customHeight="1" x14ac:dyDescent="0.3">
      <c r="A2981" s="2" t="s">
        <v>432</v>
      </c>
      <c r="B2981" s="2" t="s">
        <v>1054</v>
      </c>
      <c r="C2981" s="5" t="s">
        <v>4639</v>
      </c>
      <c r="D2981" s="2" t="s">
        <v>4640</v>
      </c>
    </row>
    <row r="2982" spans="1:4" ht="13.05" customHeight="1" x14ac:dyDescent="0.3">
      <c r="A2982" s="2" t="s">
        <v>432</v>
      </c>
      <c r="B2982" s="2" t="s">
        <v>1054</v>
      </c>
      <c r="C2982" s="5" t="s">
        <v>4641</v>
      </c>
      <c r="D2982" s="2" t="s">
        <v>4642</v>
      </c>
    </row>
    <row r="2983" spans="1:4" ht="13.05" customHeight="1" x14ac:dyDescent="0.3">
      <c r="A2983" s="2" t="s">
        <v>432</v>
      </c>
      <c r="B2983" s="2" t="s">
        <v>1054</v>
      </c>
      <c r="C2983" s="5" t="s">
        <v>4643</v>
      </c>
      <c r="D2983" s="2" t="s">
        <v>4644</v>
      </c>
    </row>
    <row r="2984" spans="1:4" ht="13.05" customHeight="1" x14ac:dyDescent="0.3">
      <c r="A2984" s="2" t="s">
        <v>432</v>
      </c>
      <c r="B2984" s="2" t="s">
        <v>1054</v>
      </c>
      <c r="C2984" s="5" t="s">
        <v>4645</v>
      </c>
      <c r="D2984" s="2" t="s">
        <v>3445</v>
      </c>
    </row>
    <row r="2985" spans="1:4" ht="13.05" customHeight="1" x14ac:dyDescent="0.3">
      <c r="A2985" s="2" t="s">
        <v>432</v>
      </c>
      <c r="B2985" s="2" t="s">
        <v>1054</v>
      </c>
      <c r="C2985" s="5" t="s">
        <v>4646</v>
      </c>
      <c r="D2985" s="2" t="s">
        <v>3447</v>
      </c>
    </row>
    <row r="2986" spans="1:4" ht="13.05" customHeight="1" x14ac:dyDescent="0.3">
      <c r="A2986" s="2" t="s">
        <v>432</v>
      </c>
      <c r="B2986" s="2" t="s">
        <v>1054</v>
      </c>
      <c r="C2986" s="5" t="s">
        <v>4647</v>
      </c>
      <c r="D2986" s="2" t="s">
        <v>4648</v>
      </c>
    </row>
    <row r="2987" spans="1:4" ht="13.05" customHeight="1" x14ac:dyDescent="0.3">
      <c r="A2987" s="2" t="s">
        <v>432</v>
      </c>
      <c r="B2987" s="2" t="s">
        <v>1054</v>
      </c>
      <c r="C2987" s="5" t="s">
        <v>4649</v>
      </c>
      <c r="D2987" s="2" t="s">
        <v>4650</v>
      </c>
    </row>
    <row r="2988" spans="1:4" ht="13.05" customHeight="1" x14ac:dyDescent="0.3">
      <c r="A2988" s="2" t="s">
        <v>432</v>
      </c>
      <c r="B2988" s="2" t="s">
        <v>1054</v>
      </c>
      <c r="C2988" s="5" t="s">
        <v>4651</v>
      </c>
      <c r="D2988" s="2" t="s">
        <v>4652</v>
      </c>
    </row>
    <row r="2989" spans="1:4" ht="13.05" customHeight="1" x14ac:dyDescent="0.3">
      <c r="A2989" s="2" t="s">
        <v>432</v>
      </c>
      <c r="B2989" s="2" t="s">
        <v>1054</v>
      </c>
      <c r="C2989" s="5" t="s">
        <v>4653</v>
      </c>
      <c r="D2989" s="2" t="s">
        <v>4654</v>
      </c>
    </row>
    <row r="2990" spans="1:4" ht="13.05" customHeight="1" x14ac:dyDescent="0.3">
      <c r="A2990" s="2" t="s">
        <v>432</v>
      </c>
      <c r="B2990" s="2" t="s">
        <v>1054</v>
      </c>
      <c r="C2990" s="5" t="s">
        <v>4655</v>
      </c>
      <c r="D2990" s="2" t="s">
        <v>4656</v>
      </c>
    </row>
    <row r="2991" spans="1:4" ht="13.05" customHeight="1" x14ac:dyDescent="0.3">
      <c r="A2991" s="2" t="s">
        <v>432</v>
      </c>
      <c r="B2991" s="2" t="s">
        <v>1054</v>
      </c>
      <c r="C2991" s="5" t="s">
        <v>4657</v>
      </c>
      <c r="D2991" s="2" t="s">
        <v>4658</v>
      </c>
    </row>
    <row r="2992" spans="1:4" ht="13.05" customHeight="1" x14ac:dyDescent="0.3">
      <c r="A2992" s="2" t="s">
        <v>432</v>
      </c>
      <c r="B2992" s="2" t="s">
        <v>1054</v>
      </c>
      <c r="C2992" s="5" t="s">
        <v>4659</v>
      </c>
      <c r="D2992" s="2" t="s">
        <v>4258</v>
      </c>
    </row>
    <row r="2993" spans="1:4" ht="13.05" customHeight="1" x14ac:dyDescent="0.3">
      <c r="A2993" s="2" t="s">
        <v>432</v>
      </c>
      <c r="B2993" s="2" t="s">
        <v>1054</v>
      </c>
      <c r="C2993" s="5" t="s">
        <v>4660</v>
      </c>
      <c r="D2993" s="2" t="s">
        <v>4661</v>
      </c>
    </row>
    <row r="2994" spans="1:4" ht="13.05" customHeight="1" x14ac:dyDescent="0.3">
      <c r="A2994" s="2" t="s">
        <v>432</v>
      </c>
      <c r="B2994" s="2" t="s">
        <v>1054</v>
      </c>
      <c r="C2994" s="5" t="s">
        <v>4662</v>
      </c>
      <c r="D2994" s="2" t="s">
        <v>4663</v>
      </c>
    </row>
    <row r="2995" spans="1:4" ht="13.05" customHeight="1" x14ac:dyDescent="0.3">
      <c r="A2995" s="2" t="s">
        <v>432</v>
      </c>
      <c r="B2995" s="2" t="s">
        <v>1054</v>
      </c>
      <c r="C2995" s="5" t="s">
        <v>4664</v>
      </c>
      <c r="D2995" s="2" t="s">
        <v>4665</v>
      </c>
    </row>
    <row r="2996" spans="1:4" ht="13.05" customHeight="1" x14ac:dyDescent="0.3">
      <c r="A2996" s="2" t="s">
        <v>432</v>
      </c>
      <c r="B2996" s="2" t="s">
        <v>1054</v>
      </c>
      <c r="C2996" s="5" t="s">
        <v>4666</v>
      </c>
      <c r="D2996" s="2" t="s">
        <v>4667</v>
      </c>
    </row>
    <row r="2997" spans="1:4" ht="13.05" customHeight="1" x14ac:dyDescent="0.3">
      <c r="A2997" s="2" t="s">
        <v>432</v>
      </c>
      <c r="B2997" s="2" t="s">
        <v>1054</v>
      </c>
      <c r="C2997" s="5" t="s">
        <v>4668</v>
      </c>
      <c r="D2997" s="2" t="s">
        <v>4669</v>
      </c>
    </row>
    <row r="2998" spans="1:4" ht="13.05" customHeight="1" x14ac:dyDescent="0.3">
      <c r="A2998" s="2" t="s">
        <v>432</v>
      </c>
      <c r="B2998" s="2" t="s">
        <v>1054</v>
      </c>
      <c r="C2998" s="5" t="s">
        <v>4670</v>
      </c>
      <c r="D2998" s="2" t="s">
        <v>4671</v>
      </c>
    </row>
    <row r="2999" spans="1:4" ht="13.05" customHeight="1" x14ac:dyDescent="0.3">
      <c r="A2999" s="2" t="s">
        <v>432</v>
      </c>
      <c r="B2999" s="2" t="s">
        <v>1054</v>
      </c>
      <c r="C2999" s="5" t="s">
        <v>4672</v>
      </c>
      <c r="D2999" s="2" t="s">
        <v>4506</v>
      </c>
    </row>
    <row r="3000" spans="1:4" ht="13.05" customHeight="1" x14ac:dyDescent="0.3">
      <c r="A3000" s="2" t="s">
        <v>432</v>
      </c>
      <c r="B3000" s="2" t="s">
        <v>1054</v>
      </c>
      <c r="C3000" s="5" t="s">
        <v>4673</v>
      </c>
      <c r="D3000" s="2" t="s">
        <v>4674</v>
      </c>
    </row>
    <row r="3001" spans="1:4" ht="13.05" customHeight="1" x14ac:dyDescent="0.3">
      <c r="A3001" s="2" t="s">
        <v>432</v>
      </c>
      <c r="B3001" s="2" t="s">
        <v>1054</v>
      </c>
      <c r="C3001" s="5" t="s">
        <v>4675</v>
      </c>
      <c r="D3001" s="2" t="s">
        <v>4676</v>
      </c>
    </row>
    <row r="3002" spans="1:4" ht="13.05" customHeight="1" x14ac:dyDescent="0.3">
      <c r="A3002" s="2" t="s">
        <v>432</v>
      </c>
      <c r="B3002" s="2" t="s">
        <v>1054</v>
      </c>
      <c r="C3002" s="5" t="s">
        <v>4677</v>
      </c>
      <c r="D3002" s="2" t="s">
        <v>4678</v>
      </c>
    </row>
    <row r="3003" spans="1:4" ht="13.05" customHeight="1" x14ac:dyDescent="0.3">
      <c r="A3003" s="2" t="s">
        <v>432</v>
      </c>
      <c r="B3003" s="2" t="s">
        <v>1054</v>
      </c>
      <c r="C3003" s="5" t="s">
        <v>4679</v>
      </c>
      <c r="D3003" s="2" t="s">
        <v>4506</v>
      </c>
    </row>
    <row r="3004" spans="1:4" ht="13.05" customHeight="1" x14ac:dyDescent="0.3">
      <c r="A3004" s="2" t="s">
        <v>432</v>
      </c>
      <c r="B3004" s="2" t="s">
        <v>1054</v>
      </c>
      <c r="C3004" s="5" t="s">
        <v>4680</v>
      </c>
      <c r="D3004" s="2" t="s">
        <v>3586</v>
      </c>
    </row>
    <row r="3005" spans="1:4" ht="13.05" customHeight="1" x14ac:dyDescent="0.3">
      <c r="A3005" s="2" t="s">
        <v>432</v>
      </c>
      <c r="B3005" s="2" t="s">
        <v>1054</v>
      </c>
      <c r="C3005" s="5" t="s">
        <v>4681</v>
      </c>
      <c r="D3005" s="2" t="s">
        <v>4682</v>
      </c>
    </row>
    <row r="3006" spans="1:4" ht="13.05" customHeight="1" x14ac:dyDescent="0.3">
      <c r="A3006" s="2" t="s">
        <v>432</v>
      </c>
      <c r="B3006" s="2" t="s">
        <v>1054</v>
      </c>
      <c r="C3006" s="5" t="s">
        <v>4683</v>
      </c>
      <c r="D3006" s="2" t="s">
        <v>4684</v>
      </c>
    </row>
    <row r="3007" spans="1:4" ht="13.05" customHeight="1" x14ac:dyDescent="0.3">
      <c r="A3007" s="2" t="s">
        <v>432</v>
      </c>
      <c r="B3007" s="2" t="s">
        <v>1054</v>
      </c>
      <c r="C3007" s="5" t="s">
        <v>4685</v>
      </c>
      <c r="D3007" s="2" t="s">
        <v>4686</v>
      </c>
    </row>
    <row r="3008" spans="1:4" ht="13.05" customHeight="1" x14ac:dyDescent="0.3">
      <c r="A3008" s="2" t="s">
        <v>432</v>
      </c>
      <c r="B3008" s="2" t="s">
        <v>1054</v>
      </c>
      <c r="C3008" s="5" t="s">
        <v>4687</v>
      </c>
      <c r="D3008" s="2" t="s">
        <v>4688</v>
      </c>
    </row>
    <row r="3009" spans="1:4" ht="13.05" customHeight="1" x14ac:dyDescent="0.3">
      <c r="A3009" s="2" t="s">
        <v>432</v>
      </c>
      <c r="B3009" s="2" t="s">
        <v>1054</v>
      </c>
      <c r="C3009" s="5" t="s">
        <v>4689</v>
      </c>
      <c r="D3009" s="2" t="s">
        <v>3333</v>
      </c>
    </row>
    <row r="3010" spans="1:4" ht="13.05" customHeight="1" x14ac:dyDescent="0.3">
      <c r="A3010" s="2" t="s">
        <v>432</v>
      </c>
      <c r="B3010" s="2" t="s">
        <v>1054</v>
      </c>
      <c r="C3010" s="5" t="s">
        <v>4690</v>
      </c>
      <c r="D3010" s="2" t="s">
        <v>3335</v>
      </c>
    </row>
    <row r="3011" spans="1:4" ht="13.05" customHeight="1" x14ac:dyDescent="0.3">
      <c r="A3011" s="2" t="s">
        <v>432</v>
      </c>
      <c r="B3011" s="2" t="s">
        <v>1054</v>
      </c>
      <c r="C3011" s="5" t="s">
        <v>4691</v>
      </c>
      <c r="D3011" s="2" t="s">
        <v>4692</v>
      </c>
    </row>
    <row r="3012" spans="1:4" ht="13.05" customHeight="1" x14ac:dyDescent="0.3">
      <c r="A3012" s="2" t="s">
        <v>432</v>
      </c>
      <c r="B3012" s="2" t="s">
        <v>1054</v>
      </c>
      <c r="C3012" s="5" t="s">
        <v>4693</v>
      </c>
      <c r="D3012" s="2" t="s">
        <v>4694</v>
      </c>
    </row>
    <row r="3013" spans="1:4" ht="13.05" customHeight="1" x14ac:dyDescent="0.3">
      <c r="A3013" s="2" t="s">
        <v>432</v>
      </c>
      <c r="B3013" s="2" t="s">
        <v>1054</v>
      </c>
      <c r="C3013" s="5" t="s">
        <v>4695</v>
      </c>
      <c r="D3013" s="2" t="s">
        <v>4696</v>
      </c>
    </row>
    <row r="3014" spans="1:4" ht="13.05" customHeight="1" x14ac:dyDescent="0.3">
      <c r="A3014" s="2" t="s">
        <v>432</v>
      </c>
      <c r="B3014" s="2" t="s">
        <v>1054</v>
      </c>
      <c r="C3014" s="5" t="s">
        <v>4697</v>
      </c>
      <c r="D3014" s="2" t="s">
        <v>4698</v>
      </c>
    </row>
    <row r="3015" spans="1:4" ht="13.05" customHeight="1" x14ac:dyDescent="0.3">
      <c r="A3015" s="2" t="s">
        <v>432</v>
      </c>
      <c r="B3015" s="2" t="s">
        <v>1054</v>
      </c>
      <c r="C3015" s="5" t="s">
        <v>4699</v>
      </c>
      <c r="D3015" s="2" t="s">
        <v>4700</v>
      </c>
    </row>
    <row r="3016" spans="1:4" ht="13.05" customHeight="1" x14ac:dyDescent="0.3">
      <c r="A3016" s="2" t="s">
        <v>432</v>
      </c>
      <c r="B3016" s="2" t="s">
        <v>1054</v>
      </c>
      <c r="C3016" s="5" t="s">
        <v>4701</v>
      </c>
      <c r="D3016" s="2" t="s">
        <v>4702</v>
      </c>
    </row>
    <row r="3017" spans="1:4" ht="13.05" customHeight="1" x14ac:dyDescent="0.3">
      <c r="A3017" s="2" t="s">
        <v>432</v>
      </c>
      <c r="B3017" s="2" t="s">
        <v>1054</v>
      </c>
      <c r="C3017" s="5" t="s">
        <v>4703</v>
      </c>
      <c r="D3017" s="2" t="s">
        <v>4704</v>
      </c>
    </row>
    <row r="3018" spans="1:4" ht="13.05" customHeight="1" x14ac:dyDescent="0.3">
      <c r="A3018" s="2" t="s">
        <v>432</v>
      </c>
      <c r="B3018" s="2" t="s">
        <v>1054</v>
      </c>
      <c r="C3018" s="5" t="s">
        <v>4705</v>
      </c>
      <c r="D3018" s="2" t="s">
        <v>4706</v>
      </c>
    </row>
    <row r="3019" spans="1:4" ht="13.05" customHeight="1" x14ac:dyDescent="0.3">
      <c r="A3019" s="2" t="s">
        <v>432</v>
      </c>
      <c r="B3019" s="2" t="s">
        <v>1054</v>
      </c>
      <c r="C3019" s="5" t="s">
        <v>4707</v>
      </c>
      <c r="D3019" s="2" t="s">
        <v>4708</v>
      </c>
    </row>
    <row r="3020" spans="1:4" ht="13.05" customHeight="1" x14ac:dyDescent="0.3">
      <c r="A3020" s="2" t="s">
        <v>432</v>
      </c>
      <c r="B3020" s="2" t="s">
        <v>1054</v>
      </c>
      <c r="C3020" s="5" t="s">
        <v>4709</v>
      </c>
      <c r="D3020" s="2" t="s">
        <v>4710</v>
      </c>
    </row>
    <row r="3021" spans="1:4" ht="13.05" customHeight="1" x14ac:dyDescent="0.3">
      <c r="A3021" s="2" t="s">
        <v>432</v>
      </c>
      <c r="B3021" s="2" t="s">
        <v>1054</v>
      </c>
      <c r="C3021" s="5" t="s">
        <v>4711</v>
      </c>
      <c r="D3021" s="2" t="s">
        <v>4712</v>
      </c>
    </row>
    <row r="3022" spans="1:4" ht="13.05" customHeight="1" x14ac:dyDescent="0.3">
      <c r="A3022" s="2" t="s">
        <v>432</v>
      </c>
      <c r="B3022" s="2" t="s">
        <v>1054</v>
      </c>
      <c r="C3022" s="5" t="s">
        <v>4713</v>
      </c>
      <c r="D3022" s="2" t="s">
        <v>3365</v>
      </c>
    </row>
    <row r="3023" spans="1:4" ht="13.05" customHeight="1" x14ac:dyDescent="0.3">
      <c r="A3023" s="2" t="s">
        <v>432</v>
      </c>
      <c r="B3023" s="2" t="s">
        <v>1054</v>
      </c>
      <c r="C3023" s="5" t="s">
        <v>4714</v>
      </c>
      <c r="D3023" s="2" t="s">
        <v>3389</v>
      </c>
    </row>
    <row r="3024" spans="1:4" ht="13.05" customHeight="1" x14ac:dyDescent="0.3">
      <c r="A3024" s="2" t="s">
        <v>432</v>
      </c>
      <c r="B3024" s="2" t="s">
        <v>1054</v>
      </c>
      <c r="C3024" s="5" t="s">
        <v>4715</v>
      </c>
      <c r="D3024" s="2" t="s">
        <v>3570</v>
      </c>
    </row>
    <row r="3025" spans="1:4" ht="13.05" customHeight="1" x14ac:dyDescent="0.3">
      <c r="A3025" s="2" t="s">
        <v>432</v>
      </c>
      <c r="B3025" s="2" t="s">
        <v>1054</v>
      </c>
      <c r="C3025" s="5" t="s">
        <v>4716</v>
      </c>
      <c r="D3025" s="2" t="s">
        <v>3572</v>
      </c>
    </row>
    <row r="3026" spans="1:4" ht="13.05" customHeight="1" x14ac:dyDescent="0.3">
      <c r="A3026" s="2" t="s">
        <v>432</v>
      </c>
      <c r="B3026" s="2" t="s">
        <v>1054</v>
      </c>
      <c r="C3026" s="5" t="s">
        <v>4717</v>
      </c>
      <c r="D3026" s="2" t="s">
        <v>3574</v>
      </c>
    </row>
    <row r="3027" spans="1:4" ht="13.05" customHeight="1" x14ac:dyDescent="0.3">
      <c r="A3027" s="2" t="s">
        <v>432</v>
      </c>
      <c r="B3027" s="2" t="s">
        <v>1054</v>
      </c>
      <c r="C3027" s="5" t="s">
        <v>4718</v>
      </c>
      <c r="D3027" s="2" t="s">
        <v>3765</v>
      </c>
    </row>
    <row r="3028" spans="1:4" ht="13.05" customHeight="1" x14ac:dyDescent="0.3">
      <c r="A3028" s="2" t="s">
        <v>432</v>
      </c>
      <c r="B3028" s="2" t="s">
        <v>1054</v>
      </c>
      <c r="C3028" s="5" t="s">
        <v>4719</v>
      </c>
      <c r="D3028" s="2" t="s">
        <v>4720</v>
      </c>
    </row>
    <row r="3029" spans="1:4" ht="13.05" customHeight="1" x14ac:dyDescent="0.3">
      <c r="A3029" s="2" t="s">
        <v>432</v>
      </c>
      <c r="B3029" s="2" t="s">
        <v>1054</v>
      </c>
      <c r="C3029" s="5" t="s">
        <v>4721</v>
      </c>
      <c r="D3029" s="2" t="s">
        <v>3393</v>
      </c>
    </row>
    <row r="3030" spans="1:4" ht="13.05" customHeight="1" x14ac:dyDescent="0.3">
      <c r="A3030" s="2" t="s">
        <v>432</v>
      </c>
      <c r="B3030" s="2" t="s">
        <v>1054</v>
      </c>
      <c r="C3030" s="5" t="s">
        <v>4722</v>
      </c>
      <c r="D3030" s="2" t="s">
        <v>3581</v>
      </c>
    </row>
    <row r="3031" spans="1:4" ht="13.05" customHeight="1" x14ac:dyDescent="0.3">
      <c r="A3031" s="2" t="s">
        <v>432</v>
      </c>
      <c r="B3031" s="2" t="s">
        <v>1054</v>
      </c>
      <c r="C3031" s="5" t="s">
        <v>4723</v>
      </c>
      <c r="D3031" s="2" t="s">
        <v>4724</v>
      </c>
    </row>
    <row r="3032" spans="1:4" ht="13.05" customHeight="1" x14ac:dyDescent="0.3">
      <c r="A3032" s="2" t="s">
        <v>432</v>
      </c>
      <c r="B3032" s="2" t="s">
        <v>1054</v>
      </c>
      <c r="C3032" s="5" t="s">
        <v>4725</v>
      </c>
      <c r="D3032" s="2" t="s">
        <v>4726</v>
      </c>
    </row>
    <row r="3033" spans="1:4" ht="13.05" customHeight="1" x14ac:dyDescent="0.3">
      <c r="A3033" s="2" t="s">
        <v>432</v>
      </c>
      <c r="B3033" s="2" t="s">
        <v>1054</v>
      </c>
      <c r="C3033" s="5" t="s">
        <v>4727</v>
      </c>
      <c r="D3033" s="2" t="s">
        <v>3770</v>
      </c>
    </row>
    <row r="3034" spans="1:4" ht="13.05" customHeight="1" x14ac:dyDescent="0.3">
      <c r="A3034" s="2" t="s">
        <v>432</v>
      </c>
      <c r="B3034" s="2" t="s">
        <v>1054</v>
      </c>
      <c r="C3034" s="5" t="s">
        <v>4728</v>
      </c>
      <c r="D3034" s="2" t="s">
        <v>4729</v>
      </c>
    </row>
    <row r="3035" spans="1:4" ht="13.05" customHeight="1" x14ac:dyDescent="0.3">
      <c r="A3035" s="2" t="s">
        <v>432</v>
      </c>
      <c r="B3035" s="2" t="s">
        <v>1054</v>
      </c>
      <c r="C3035" s="5" t="s">
        <v>4730</v>
      </c>
      <c r="D3035" s="2" t="s">
        <v>4731</v>
      </c>
    </row>
    <row r="3036" spans="1:4" ht="13.05" customHeight="1" x14ac:dyDescent="0.3">
      <c r="A3036" s="2" t="s">
        <v>432</v>
      </c>
      <c r="B3036" s="2" t="s">
        <v>1054</v>
      </c>
      <c r="C3036" s="5" t="s">
        <v>4732</v>
      </c>
      <c r="D3036" s="2" t="s">
        <v>4733</v>
      </c>
    </row>
    <row r="3037" spans="1:4" ht="13.05" customHeight="1" x14ac:dyDescent="0.3">
      <c r="A3037" s="2" t="s">
        <v>432</v>
      </c>
      <c r="B3037" s="2" t="s">
        <v>1054</v>
      </c>
      <c r="C3037" s="5" t="s">
        <v>4734</v>
      </c>
      <c r="D3037" s="2" t="s">
        <v>4735</v>
      </c>
    </row>
    <row r="3038" spans="1:4" ht="13.05" customHeight="1" x14ac:dyDescent="0.3">
      <c r="A3038" s="2" t="s">
        <v>432</v>
      </c>
      <c r="B3038" s="2" t="s">
        <v>1054</v>
      </c>
      <c r="C3038" s="5" t="s">
        <v>4736</v>
      </c>
      <c r="D3038" s="2" t="s">
        <v>4737</v>
      </c>
    </row>
    <row r="3039" spans="1:4" ht="13.05" customHeight="1" x14ac:dyDescent="0.3">
      <c r="A3039" s="2" t="s">
        <v>432</v>
      </c>
      <c r="B3039" s="2" t="s">
        <v>1054</v>
      </c>
      <c r="C3039" s="5" t="s">
        <v>4738</v>
      </c>
      <c r="D3039" s="2" t="s">
        <v>4739</v>
      </c>
    </row>
    <row r="3040" spans="1:4" ht="13.05" customHeight="1" x14ac:dyDescent="0.3">
      <c r="A3040" s="2" t="s">
        <v>432</v>
      </c>
      <c r="B3040" s="2" t="s">
        <v>1054</v>
      </c>
      <c r="C3040" s="5" t="s">
        <v>4740</v>
      </c>
      <c r="D3040" s="2" t="s">
        <v>4741</v>
      </c>
    </row>
    <row r="3041" spans="1:4" ht="13.05" customHeight="1" x14ac:dyDescent="0.3">
      <c r="A3041" s="2" t="s">
        <v>432</v>
      </c>
      <c r="B3041" s="2" t="s">
        <v>1054</v>
      </c>
      <c r="C3041" s="5" t="s">
        <v>4742</v>
      </c>
      <c r="D3041" s="2" t="s">
        <v>4743</v>
      </c>
    </row>
    <row r="3042" spans="1:4" ht="13.05" customHeight="1" x14ac:dyDescent="0.3">
      <c r="A3042" s="2" t="s">
        <v>432</v>
      </c>
      <c r="B3042" s="2" t="s">
        <v>1054</v>
      </c>
      <c r="C3042" s="5" t="s">
        <v>4744</v>
      </c>
      <c r="D3042" s="2" t="s">
        <v>4745</v>
      </c>
    </row>
    <row r="3043" spans="1:4" ht="13.05" customHeight="1" x14ac:dyDescent="0.3">
      <c r="A3043" s="2" t="s">
        <v>432</v>
      </c>
      <c r="B3043" s="2" t="s">
        <v>1054</v>
      </c>
      <c r="C3043" s="5" t="s">
        <v>4746</v>
      </c>
      <c r="D3043" s="2" t="s">
        <v>4747</v>
      </c>
    </row>
    <row r="3044" spans="1:4" ht="13.05" customHeight="1" x14ac:dyDescent="0.3">
      <c r="A3044" s="2" t="s">
        <v>432</v>
      </c>
      <c r="B3044" s="2" t="s">
        <v>1054</v>
      </c>
      <c r="C3044" s="5" t="s">
        <v>4748</v>
      </c>
      <c r="D3044" s="2" t="s">
        <v>3445</v>
      </c>
    </row>
    <row r="3045" spans="1:4" ht="13.05" customHeight="1" x14ac:dyDescent="0.3">
      <c r="A3045" s="2" t="s">
        <v>432</v>
      </c>
      <c r="B3045" s="2" t="s">
        <v>1054</v>
      </c>
      <c r="C3045" s="5" t="s">
        <v>4749</v>
      </c>
      <c r="D3045" s="2" t="s">
        <v>3447</v>
      </c>
    </row>
    <row r="3046" spans="1:4" ht="13.05" customHeight="1" x14ac:dyDescent="0.3">
      <c r="A3046" s="2" t="s">
        <v>432</v>
      </c>
      <c r="B3046" s="2" t="s">
        <v>1054</v>
      </c>
      <c r="C3046" s="5" t="s">
        <v>4750</v>
      </c>
      <c r="D3046" s="2" t="s">
        <v>4751</v>
      </c>
    </row>
    <row r="3047" spans="1:4" ht="13.05" customHeight="1" x14ac:dyDescent="0.3">
      <c r="A3047" s="2" t="s">
        <v>432</v>
      </c>
      <c r="B3047" s="2" t="s">
        <v>1054</v>
      </c>
      <c r="C3047" s="5" t="s">
        <v>4752</v>
      </c>
      <c r="D3047" s="2" t="s">
        <v>4753</v>
      </c>
    </row>
    <row r="3048" spans="1:4" ht="13.05" customHeight="1" x14ac:dyDescent="0.3">
      <c r="A3048" s="2" t="s">
        <v>432</v>
      </c>
      <c r="B3048" s="2" t="s">
        <v>1054</v>
      </c>
      <c r="C3048" s="5" t="s">
        <v>4754</v>
      </c>
      <c r="D3048" s="2" t="s">
        <v>4755</v>
      </c>
    </row>
    <row r="3049" spans="1:4" ht="13.05" customHeight="1" x14ac:dyDescent="0.3">
      <c r="A3049" s="2" t="s">
        <v>432</v>
      </c>
      <c r="B3049" s="2" t="s">
        <v>1054</v>
      </c>
      <c r="C3049" s="5" t="s">
        <v>4756</v>
      </c>
      <c r="D3049" s="2" t="s">
        <v>3333</v>
      </c>
    </row>
    <row r="3050" spans="1:4" ht="13.05" customHeight="1" x14ac:dyDescent="0.3">
      <c r="A3050" s="2" t="s">
        <v>432</v>
      </c>
      <c r="B3050" s="2" t="s">
        <v>1054</v>
      </c>
      <c r="C3050" s="5" t="s">
        <v>4757</v>
      </c>
      <c r="D3050" s="2" t="s">
        <v>3447</v>
      </c>
    </row>
    <row r="3051" spans="1:4" ht="13.05" customHeight="1" x14ac:dyDescent="0.3">
      <c r="A3051" s="2" t="s">
        <v>432</v>
      </c>
      <c r="B3051" s="2" t="s">
        <v>1054</v>
      </c>
      <c r="C3051" s="5" t="s">
        <v>4758</v>
      </c>
      <c r="D3051" s="2" t="s">
        <v>4759</v>
      </c>
    </row>
    <row r="3052" spans="1:4" ht="13.05" customHeight="1" x14ac:dyDescent="0.3">
      <c r="A3052" s="2" t="s">
        <v>432</v>
      </c>
      <c r="B3052" s="2" t="s">
        <v>1054</v>
      </c>
      <c r="C3052" s="5" t="s">
        <v>4760</v>
      </c>
      <c r="D3052" s="2" t="s">
        <v>4761</v>
      </c>
    </row>
    <row r="3053" spans="1:4" ht="13.05" customHeight="1" x14ac:dyDescent="0.3">
      <c r="A3053" s="2" t="s">
        <v>432</v>
      </c>
      <c r="B3053" s="2" t="s">
        <v>1054</v>
      </c>
      <c r="C3053" s="5" t="s">
        <v>4762</v>
      </c>
      <c r="D3053" s="2" t="s">
        <v>4763</v>
      </c>
    </row>
    <row r="3054" spans="1:4" ht="13.05" customHeight="1" x14ac:dyDescent="0.3">
      <c r="A3054" s="2" t="s">
        <v>432</v>
      </c>
      <c r="B3054" s="2" t="s">
        <v>1054</v>
      </c>
      <c r="C3054" s="5" t="s">
        <v>4764</v>
      </c>
      <c r="D3054" s="2" t="s">
        <v>4765</v>
      </c>
    </row>
    <row r="3055" spans="1:4" ht="13.05" customHeight="1" x14ac:dyDescent="0.3">
      <c r="A3055" s="2" t="s">
        <v>432</v>
      </c>
      <c r="B3055" s="2" t="s">
        <v>1054</v>
      </c>
      <c r="C3055" s="5" t="s">
        <v>4766</v>
      </c>
      <c r="D3055" s="2" t="s">
        <v>4767</v>
      </c>
    </row>
    <row r="3056" spans="1:4" ht="13.05" customHeight="1" x14ac:dyDescent="0.3">
      <c r="A3056" s="2" t="s">
        <v>432</v>
      </c>
      <c r="B3056" s="2" t="s">
        <v>1054</v>
      </c>
      <c r="C3056" s="5" t="s">
        <v>4768</v>
      </c>
      <c r="D3056" s="2" t="s">
        <v>4769</v>
      </c>
    </row>
    <row r="3057" spans="1:4" ht="13.05" customHeight="1" x14ac:dyDescent="0.3">
      <c r="A3057" s="2" t="s">
        <v>432</v>
      </c>
      <c r="B3057" s="2" t="s">
        <v>1054</v>
      </c>
      <c r="C3057" s="5" t="s">
        <v>4770</v>
      </c>
      <c r="D3057" s="2" t="s">
        <v>4771</v>
      </c>
    </row>
    <row r="3058" spans="1:4" ht="13.05" customHeight="1" x14ac:dyDescent="0.3">
      <c r="A3058" s="2" t="s">
        <v>432</v>
      </c>
      <c r="B3058" s="2" t="s">
        <v>1054</v>
      </c>
      <c r="C3058" s="5" t="s">
        <v>4772</v>
      </c>
      <c r="D3058" s="2" t="s">
        <v>4773</v>
      </c>
    </row>
    <row r="3059" spans="1:4" ht="13.05" customHeight="1" x14ac:dyDescent="0.3">
      <c r="A3059" s="2" t="s">
        <v>432</v>
      </c>
      <c r="B3059" s="2" t="s">
        <v>1054</v>
      </c>
      <c r="C3059" s="5" t="s">
        <v>4774</v>
      </c>
      <c r="D3059" s="2" t="s">
        <v>4775</v>
      </c>
    </row>
    <row r="3060" spans="1:4" ht="13.05" customHeight="1" x14ac:dyDescent="0.3">
      <c r="A3060" s="2" t="s">
        <v>432</v>
      </c>
      <c r="B3060" s="2" t="s">
        <v>1054</v>
      </c>
      <c r="C3060" s="5" t="s">
        <v>4776</v>
      </c>
      <c r="D3060" s="2" t="s">
        <v>4777</v>
      </c>
    </row>
    <row r="3061" spans="1:4" ht="13.05" customHeight="1" x14ac:dyDescent="0.3">
      <c r="A3061" s="2" t="s">
        <v>432</v>
      </c>
      <c r="B3061" s="2" t="s">
        <v>1054</v>
      </c>
      <c r="C3061" s="5" t="s">
        <v>4778</v>
      </c>
      <c r="D3061" s="2" t="s">
        <v>4779</v>
      </c>
    </row>
    <row r="3062" spans="1:4" ht="13.05" customHeight="1" x14ac:dyDescent="0.3">
      <c r="A3062" s="2" t="s">
        <v>432</v>
      </c>
      <c r="B3062" s="2" t="s">
        <v>1054</v>
      </c>
      <c r="C3062" s="5" t="s">
        <v>4780</v>
      </c>
      <c r="D3062" s="2" t="s">
        <v>4781</v>
      </c>
    </row>
    <row r="3063" spans="1:4" ht="13.05" customHeight="1" x14ac:dyDescent="0.3">
      <c r="A3063" s="2" t="s">
        <v>432</v>
      </c>
      <c r="B3063" s="2" t="s">
        <v>1054</v>
      </c>
      <c r="C3063" s="5" t="s">
        <v>4782</v>
      </c>
      <c r="D3063" s="2" t="s">
        <v>4783</v>
      </c>
    </row>
    <row r="3064" spans="1:4" ht="13.05" customHeight="1" x14ac:dyDescent="0.3">
      <c r="A3064" s="2" t="s">
        <v>432</v>
      </c>
      <c r="B3064" s="2" t="s">
        <v>1054</v>
      </c>
      <c r="C3064" s="5" t="s">
        <v>4784</v>
      </c>
      <c r="D3064" s="2" t="s">
        <v>4785</v>
      </c>
    </row>
    <row r="3065" spans="1:4" ht="13.05" customHeight="1" x14ac:dyDescent="0.3">
      <c r="A3065" s="2" t="s">
        <v>432</v>
      </c>
      <c r="B3065" s="2" t="s">
        <v>1054</v>
      </c>
      <c r="C3065" s="5" t="s">
        <v>4786</v>
      </c>
      <c r="D3065" s="2" t="s">
        <v>4787</v>
      </c>
    </row>
    <row r="3066" spans="1:4" ht="13.05" customHeight="1" x14ac:dyDescent="0.3">
      <c r="A3066" s="2" t="s">
        <v>432</v>
      </c>
      <c r="B3066" s="2" t="s">
        <v>1054</v>
      </c>
      <c r="C3066" s="5" t="s">
        <v>4788</v>
      </c>
      <c r="D3066" s="2" t="s">
        <v>4789</v>
      </c>
    </row>
    <row r="3067" spans="1:4" ht="13.05" customHeight="1" x14ac:dyDescent="0.3">
      <c r="A3067" s="2" t="s">
        <v>432</v>
      </c>
      <c r="B3067" s="2" t="s">
        <v>1054</v>
      </c>
      <c r="C3067" s="5" t="s">
        <v>4790</v>
      </c>
      <c r="D3067" s="2" t="s">
        <v>4791</v>
      </c>
    </row>
    <row r="3068" spans="1:4" ht="13.05" customHeight="1" x14ac:dyDescent="0.3">
      <c r="A3068" s="2" t="s">
        <v>432</v>
      </c>
      <c r="B3068" s="2" t="s">
        <v>1054</v>
      </c>
      <c r="C3068" s="5" t="s">
        <v>4792</v>
      </c>
      <c r="D3068" s="2" t="s">
        <v>4793</v>
      </c>
    </row>
    <row r="3069" spans="1:4" ht="13.05" customHeight="1" x14ac:dyDescent="0.3">
      <c r="A3069" s="2" t="s">
        <v>432</v>
      </c>
      <c r="B3069" s="2" t="s">
        <v>1054</v>
      </c>
      <c r="C3069" s="5" t="s">
        <v>4794</v>
      </c>
      <c r="D3069" s="2" t="s">
        <v>4795</v>
      </c>
    </row>
    <row r="3070" spans="1:4" ht="13.05" customHeight="1" x14ac:dyDescent="0.3">
      <c r="A3070" s="2" t="s">
        <v>432</v>
      </c>
      <c r="B3070" s="2" t="s">
        <v>1054</v>
      </c>
      <c r="C3070" s="5" t="s">
        <v>4796</v>
      </c>
      <c r="D3070" s="2" t="s">
        <v>4797</v>
      </c>
    </row>
    <row r="3071" spans="1:4" ht="13.05" customHeight="1" x14ac:dyDescent="0.3">
      <c r="A3071" s="2" t="s">
        <v>432</v>
      </c>
      <c r="B3071" s="2" t="s">
        <v>1054</v>
      </c>
      <c r="C3071" s="5" t="s">
        <v>4798</v>
      </c>
      <c r="D3071" s="2" t="s">
        <v>4799</v>
      </c>
    </row>
    <row r="3072" spans="1:4" ht="13.05" customHeight="1" x14ac:dyDescent="0.3">
      <c r="A3072" s="2" t="s">
        <v>432</v>
      </c>
      <c r="B3072" s="2" t="s">
        <v>1054</v>
      </c>
      <c r="C3072" s="5" t="s">
        <v>4800</v>
      </c>
      <c r="D3072" s="2" t="s">
        <v>4801</v>
      </c>
    </row>
    <row r="3073" spans="1:4" ht="13.05" customHeight="1" x14ac:dyDescent="0.3">
      <c r="A3073" s="2" t="s">
        <v>432</v>
      </c>
      <c r="B3073" s="2" t="s">
        <v>1054</v>
      </c>
      <c r="C3073" s="5" t="s">
        <v>4802</v>
      </c>
      <c r="D3073" s="2" t="s">
        <v>4803</v>
      </c>
    </row>
    <row r="3074" spans="1:4" ht="13.05" customHeight="1" x14ac:dyDescent="0.3">
      <c r="A3074" s="2" t="s">
        <v>432</v>
      </c>
      <c r="B3074" s="2" t="s">
        <v>1054</v>
      </c>
      <c r="C3074" s="5" t="s">
        <v>4804</v>
      </c>
      <c r="D3074" s="2" t="s">
        <v>4805</v>
      </c>
    </row>
    <row r="3075" spans="1:4" ht="13.05" customHeight="1" x14ac:dyDescent="0.3">
      <c r="A3075" s="2" t="s">
        <v>432</v>
      </c>
      <c r="B3075" s="2" t="s">
        <v>1054</v>
      </c>
      <c r="C3075" s="5" t="s">
        <v>4806</v>
      </c>
      <c r="D3075" s="2" t="s">
        <v>4807</v>
      </c>
    </row>
    <row r="3076" spans="1:4" ht="13.05" customHeight="1" x14ac:dyDescent="0.3">
      <c r="A3076" s="2" t="s">
        <v>432</v>
      </c>
      <c r="B3076" s="2" t="s">
        <v>1054</v>
      </c>
      <c r="C3076" s="5" t="s">
        <v>4808</v>
      </c>
      <c r="D3076" s="2" t="s">
        <v>3445</v>
      </c>
    </row>
    <row r="3077" spans="1:4" ht="13.05" customHeight="1" x14ac:dyDescent="0.3">
      <c r="A3077" s="2" t="s">
        <v>432</v>
      </c>
      <c r="B3077" s="2" t="s">
        <v>1054</v>
      </c>
      <c r="C3077" s="5" t="s">
        <v>4809</v>
      </c>
      <c r="D3077" s="2" t="s">
        <v>3447</v>
      </c>
    </row>
    <row r="3078" spans="1:4" ht="13.05" customHeight="1" x14ac:dyDescent="0.3">
      <c r="A3078" s="2" t="s">
        <v>432</v>
      </c>
      <c r="B3078" s="2" t="s">
        <v>1054</v>
      </c>
      <c r="C3078" s="5" t="s">
        <v>4810</v>
      </c>
      <c r="D3078" s="2" t="s">
        <v>4811</v>
      </c>
    </row>
    <row r="3079" spans="1:4" ht="13.05" customHeight="1" x14ac:dyDescent="0.3">
      <c r="A3079" s="2" t="s">
        <v>432</v>
      </c>
      <c r="B3079" s="2" t="s">
        <v>1054</v>
      </c>
      <c r="C3079" s="5" t="s">
        <v>4812</v>
      </c>
      <c r="D3079" s="2" t="s">
        <v>4813</v>
      </c>
    </row>
    <row r="3080" spans="1:4" ht="13.05" customHeight="1" x14ac:dyDescent="0.3">
      <c r="A3080" s="2" t="s">
        <v>432</v>
      </c>
      <c r="B3080" s="2" t="s">
        <v>1054</v>
      </c>
      <c r="C3080" s="5" t="s">
        <v>4814</v>
      </c>
      <c r="D3080" s="2" t="s">
        <v>4815</v>
      </c>
    </row>
    <row r="3081" spans="1:4" ht="13.05" customHeight="1" x14ac:dyDescent="0.3">
      <c r="A3081" s="2" t="s">
        <v>432</v>
      </c>
      <c r="B3081" s="2" t="s">
        <v>1054</v>
      </c>
      <c r="C3081" s="5" t="s">
        <v>4816</v>
      </c>
      <c r="D3081" s="2" t="s">
        <v>4817</v>
      </c>
    </row>
    <row r="3082" spans="1:4" ht="13.05" customHeight="1" x14ac:dyDescent="0.3">
      <c r="A3082" s="2" t="s">
        <v>432</v>
      </c>
      <c r="B3082" s="2" t="s">
        <v>1054</v>
      </c>
      <c r="C3082" s="5" t="s">
        <v>4818</v>
      </c>
      <c r="D3082" s="2" t="s">
        <v>4819</v>
      </c>
    </row>
    <row r="3083" spans="1:4" ht="13.05" customHeight="1" x14ac:dyDescent="0.3">
      <c r="A3083" s="2" t="s">
        <v>432</v>
      </c>
      <c r="B3083" s="2" t="s">
        <v>1054</v>
      </c>
      <c r="C3083" s="5" t="s">
        <v>4820</v>
      </c>
      <c r="D3083" s="2" t="s">
        <v>4821</v>
      </c>
    </row>
    <row r="3084" spans="1:4" ht="13.05" customHeight="1" x14ac:dyDescent="0.3">
      <c r="A3084" s="2" t="s">
        <v>432</v>
      </c>
      <c r="B3084" s="2" t="s">
        <v>1054</v>
      </c>
      <c r="C3084" s="5" t="s">
        <v>4822</v>
      </c>
      <c r="D3084" s="2" t="s">
        <v>3365</v>
      </c>
    </row>
    <row r="3085" spans="1:4" ht="13.05" customHeight="1" x14ac:dyDescent="0.3">
      <c r="A3085" s="2" t="s">
        <v>432</v>
      </c>
      <c r="B3085" s="2" t="s">
        <v>1054</v>
      </c>
      <c r="C3085" s="5" t="s">
        <v>4823</v>
      </c>
      <c r="D3085" s="2" t="s">
        <v>3367</v>
      </c>
    </row>
    <row r="3086" spans="1:4" ht="13.05" customHeight="1" x14ac:dyDescent="0.3">
      <c r="A3086" s="2" t="s">
        <v>432</v>
      </c>
      <c r="B3086" s="2" t="s">
        <v>1054</v>
      </c>
      <c r="C3086" s="5" t="s">
        <v>4824</v>
      </c>
      <c r="D3086" s="2" t="s">
        <v>4825</v>
      </c>
    </row>
    <row r="3087" spans="1:4" ht="13.05" customHeight="1" x14ac:dyDescent="0.3">
      <c r="A3087" s="2" t="s">
        <v>432</v>
      </c>
      <c r="B3087" s="2" t="s">
        <v>1054</v>
      </c>
      <c r="C3087" s="5" t="s">
        <v>4826</v>
      </c>
      <c r="D3087" s="2" t="s">
        <v>4827</v>
      </c>
    </row>
    <row r="3088" spans="1:4" ht="13.05" customHeight="1" x14ac:dyDescent="0.3">
      <c r="A3088" s="2" t="s">
        <v>432</v>
      </c>
      <c r="B3088" s="2" t="s">
        <v>1054</v>
      </c>
      <c r="C3088" s="5" t="s">
        <v>4828</v>
      </c>
      <c r="D3088" s="2" t="s">
        <v>4829</v>
      </c>
    </row>
    <row r="3089" spans="1:4" ht="13.05" customHeight="1" x14ac:dyDescent="0.3">
      <c r="A3089" s="2" t="s">
        <v>432</v>
      </c>
      <c r="B3089" s="2" t="s">
        <v>1054</v>
      </c>
      <c r="C3089" s="5" t="s">
        <v>4830</v>
      </c>
      <c r="D3089" s="2" t="s">
        <v>4831</v>
      </c>
    </row>
    <row r="3090" spans="1:4" ht="13.05" customHeight="1" x14ac:dyDescent="0.3">
      <c r="A3090" s="2" t="s">
        <v>432</v>
      </c>
      <c r="B3090" s="2" t="s">
        <v>1054</v>
      </c>
      <c r="C3090" s="5" t="s">
        <v>4832</v>
      </c>
      <c r="D3090" s="2" t="s">
        <v>4833</v>
      </c>
    </row>
    <row r="3091" spans="1:4" ht="13.05" customHeight="1" x14ac:dyDescent="0.3">
      <c r="A3091" s="2" t="s">
        <v>432</v>
      </c>
      <c r="B3091" s="2" t="s">
        <v>1054</v>
      </c>
      <c r="C3091" s="5" t="s">
        <v>4834</v>
      </c>
      <c r="D3091" s="2" t="s">
        <v>4835</v>
      </c>
    </row>
    <row r="3092" spans="1:4" ht="13.05" customHeight="1" x14ac:dyDescent="0.3">
      <c r="A3092" s="2" t="s">
        <v>432</v>
      </c>
      <c r="B3092" s="2" t="s">
        <v>1054</v>
      </c>
      <c r="C3092" s="5" t="s">
        <v>4836</v>
      </c>
      <c r="D3092" s="2" t="s">
        <v>4837</v>
      </c>
    </row>
    <row r="3093" spans="1:4" ht="13.05" customHeight="1" x14ac:dyDescent="0.3">
      <c r="A3093" s="2" t="s">
        <v>432</v>
      </c>
      <c r="B3093" s="2" t="s">
        <v>1054</v>
      </c>
      <c r="C3093" s="5" t="s">
        <v>4838</v>
      </c>
      <c r="D3093" s="2" t="s">
        <v>4839</v>
      </c>
    </row>
    <row r="3094" spans="1:4" ht="13.05" customHeight="1" x14ac:dyDescent="0.3">
      <c r="A3094" s="2" t="s">
        <v>432</v>
      </c>
      <c r="B3094" s="2" t="s">
        <v>1054</v>
      </c>
      <c r="C3094" s="5" t="s">
        <v>4840</v>
      </c>
      <c r="D3094" s="2" t="s">
        <v>4841</v>
      </c>
    </row>
    <row r="3095" spans="1:4" ht="13.05" customHeight="1" x14ac:dyDescent="0.3">
      <c r="A3095" s="2" t="s">
        <v>432</v>
      </c>
      <c r="B3095" s="2" t="s">
        <v>1054</v>
      </c>
      <c r="C3095" s="5" t="s">
        <v>4842</v>
      </c>
      <c r="D3095" s="2" t="s">
        <v>4843</v>
      </c>
    </row>
    <row r="3096" spans="1:4" ht="13.05" customHeight="1" x14ac:dyDescent="0.3">
      <c r="A3096" s="2" t="s">
        <v>432</v>
      </c>
      <c r="B3096" s="2" t="s">
        <v>1054</v>
      </c>
      <c r="C3096" s="5" t="s">
        <v>4844</v>
      </c>
      <c r="D3096" s="2" t="s">
        <v>1241</v>
      </c>
    </row>
    <row r="3097" spans="1:4" ht="13.05" customHeight="1" x14ac:dyDescent="0.3">
      <c r="A3097" s="2" t="s">
        <v>432</v>
      </c>
      <c r="B3097" s="2" t="s">
        <v>1054</v>
      </c>
      <c r="C3097" s="5" t="s">
        <v>4845</v>
      </c>
      <c r="D3097" s="2" t="s">
        <v>4846</v>
      </c>
    </row>
    <row r="3098" spans="1:4" ht="13.05" customHeight="1" x14ac:dyDescent="0.3">
      <c r="A3098" s="2" t="s">
        <v>432</v>
      </c>
      <c r="B3098" s="2" t="s">
        <v>1054</v>
      </c>
      <c r="C3098" s="5" t="s">
        <v>4847</v>
      </c>
      <c r="D3098" s="2" t="s">
        <v>4848</v>
      </c>
    </row>
    <row r="3099" spans="1:4" ht="13.05" customHeight="1" x14ac:dyDescent="0.3">
      <c r="A3099" s="2" t="s">
        <v>432</v>
      </c>
      <c r="B3099" s="2" t="s">
        <v>1054</v>
      </c>
      <c r="C3099" s="5" t="s">
        <v>4849</v>
      </c>
      <c r="D3099" s="2" t="s">
        <v>4850</v>
      </c>
    </row>
    <row r="3100" spans="1:4" ht="13.05" customHeight="1" x14ac:dyDescent="0.3">
      <c r="A3100" s="2" t="s">
        <v>432</v>
      </c>
      <c r="B3100" s="2" t="s">
        <v>1054</v>
      </c>
      <c r="C3100" s="5" t="s">
        <v>4851</v>
      </c>
      <c r="D3100" s="2" t="s">
        <v>4852</v>
      </c>
    </row>
    <row r="3101" spans="1:4" ht="13.05" customHeight="1" x14ac:dyDescent="0.3">
      <c r="A3101" s="2" t="s">
        <v>432</v>
      </c>
      <c r="B3101" s="2" t="s">
        <v>1054</v>
      </c>
      <c r="C3101" s="5" t="s">
        <v>4853</v>
      </c>
      <c r="D3101" s="2" t="s">
        <v>4854</v>
      </c>
    </row>
    <row r="3102" spans="1:4" ht="13.05" customHeight="1" x14ac:dyDescent="0.3">
      <c r="A3102" s="2" t="s">
        <v>432</v>
      </c>
      <c r="B3102" s="2" t="s">
        <v>1054</v>
      </c>
      <c r="C3102" s="5" t="s">
        <v>4855</v>
      </c>
      <c r="D3102" s="2" t="s">
        <v>4856</v>
      </c>
    </row>
    <row r="3103" spans="1:4" ht="13.05" customHeight="1" x14ac:dyDescent="0.3">
      <c r="A3103" s="2" t="s">
        <v>432</v>
      </c>
      <c r="B3103" s="2" t="s">
        <v>1054</v>
      </c>
      <c r="C3103" s="5" t="s">
        <v>4857</v>
      </c>
      <c r="D3103" s="2" t="s">
        <v>4858</v>
      </c>
    </row>
    <row r="3104" spans="1:4" ht="13.05" customHeight="1" x14ac:dyDescent="0.3">
      <c r="A3104" s="2" t="s">
        <v>432</v>
      </c>
      <c r="B3104" s="2" t="s">
        <v>1054</v>
      </c>
      <c r="C3104" s="5" t="s">
        <v>4859</v>
      </c>
      <c r="D3104" s="2" t="s">
        <v>4860</v>
      </c>
    </row>
    <row r="3105" spans="1:4" ht="13.05" customHeight="1" x14ac:dyDescent="0.3">
      <c r="A3105" s="2" t="s">
        <v>432</v>
      </c>
      <c r="B3105" s="2" t="s">
        <v>1054</v>
      </c>
      <c r="C3105" s="5" t="s">
        <v>4861</v>
      </c>
      <c r="D3105" s="2" t="s">
        <v>4862</v>
      </c>
    </row>
    <row r="3106" spans="1:4" ht="13.05" customHeight="1" x14ac:dyDescent="0.3">
      <c r="A3106" s="2" t="s">
        <v>432</v>
      </c>
      <c r="B3106" s="2" t="s">
        <v>1054</v>
      </c>
      <c r="C3106" s="5" t="s">
        <v>4863</v>
      </c>
      <c r="D3106" s="2" t="s">
        <v>4864</v>
      </c>
    </row>
    <row r="3107" spans="1:4" ht="13.05" customHeight="1" x14ac:dyDescent="0.3">
      <c r="A3107" s="2" t="s">
        <v>432</v>
      </c>
      <c r="B3107" s="2" t="s">
        <v>1054</v>
      </c>
      <c r="C3107" s="5" t="s">
        <v>4865</v>
      </c>
      <c r="D3107" s="2" t="s">
        <v>4866</v>
      </c>
    </row>
    <row r="3108" spans="1:4" ht="13.05" customHeight="1" x14ac:dyDescent="0.3">
      <c r="A3108" s="2" t="s">
        <v>432</v>
      </c>
      <c r="B3108" s="2" t="s">
        <v>1054</v>
      </c>
      <c r="C3108" s="5" t="s">
        <v>4867</v>
      </c>
      <c r="D3108" s="2" t="s">
        <v>4868</v>
      </c>
    </row>
    <row r="3109" spans="1:4" ht="13.05" customHeight="1" x14ac:dyDescent="0.3">
      <c r="A3109" s="2" t="s">
        <v>432</v>
      </c>
      <c r="B3109" s="2" t="s">
        <v>1054</v>
      </c>
      <c r="C3109" s="5" t="s">
        <v>4869</v>
      </c>
      <c r="D3109" s="2" t="s">
        <v>4870</v>
      </c>
    </row>
    <row r="3110" spans="1:4" ht="13.05" customHeight="1" x14ac:dyDescent="0.3">
      <c r="A3110" s="2" t="s">
        <v>432</v>
      </c>
      <c r="B3110" s="2" t="s">
        <v>1054</v>
      </c>
      <c r="C3110" s="5" t="s">
        <v>4871</v>
      </c>
      <c r="D3110" s="2" t="s">
        <v>4872</v>
      </c>
    </row>
    <row r="3111" spans="1:4" ht="13.05" customHeight="1" x14ac:dyDescent="0.3">
      <c r="A3111" s="2" t="s">
        <v>432</v>
      </c>
      <c r="B3111" s="2" t="s">
        <v>1054</v>
      </c>
      <c r="C3111" s="5" t="s">
        <v>4873</v>
      </c>
      <c r="D3111" s="2" t="s">
        <v>4874</v>
      </c>
    </row>
    <row r="3112" spans="1:4" ht="13.05" customHeight="1" x14ac:dyDescent="0.3">
      <c r="A3112" s="2" t="s">
        <v>432</v>
      </c>
      <c r="B3112" s="2" t="s">
        <v>1054</v>
      </c>
      <c r="C3112" s="5" t="s">
        <v>4875</v>
      </c>
      <c r="D3112" s="2" t="s">
        <v>4876</v>
      </c>
    </row>
    <row r="3113" spans="1:4" ht="13.05" customHeight="1" x14ac:dyDescent="0.3">
      <c r="A3113" s="2" t="s">
        <v>432</v>
      </c>
      <c r="B3113" s="2" t="s">
        <v>1054</v>
      </c>
      <c r="C3113" s="5" t="s">
        <v>4877</v>
      </c>
      <c r="D3113" s="2" t="s">
        <v>3445</v>
      </c>
    </row>
    <row r="3114" spans="1:4" ht="13.05" customHeight="1" x14ac:dyDescent="0.3">
      <c r="A3114" s="2" t="s">
        <v>432</v>
      </c>
      <c r="B3114" s="2" t="s">
        <v>1054</v>
      </c>
      <c r="C3114" s="5" t="s">
        <v>4878</v>
      </c>
      <c r="D3114" s="2" t="s">
        <v>3447</v>
      </c>
    </row>
    <row r="3115" spans="1:4" ht="13.05" customHeight="1" x14ac:dyDescent="0.3">
      <c r="A3115" s="2" t="s">
        <v>432</v>
      </c>
      <c r="B3115" s="2" t="s">
        <v>1054</v>
      </c>
      <c r="C3115" s="5" t="s">
        <v>4879</v>
      </c>
      <c r="D3115" s="2" t="s">
        <v>4880</v>
      </c>
    </row>
    <row r="3116" spans="1:4" ht="13.05" customHeight="1" x14ac:dyDescent="0.3">
      <c r="A3116" s="2" t="s">
        <v>432</v>
      </c>
      <c r="B3116" s="2" t="s">
        <v>1054</v>
      </c>
      <c r="C3116" s="5" t="s">
        <v>4881</v>
      </c>
      <c r="D3116" s="2" t="s">
        <v>4882</v>
      </c>
    </row>
    <row r="3117" spans="1:4" ht="13.05" customHeight="1" x14ac:dyDescent="0.3">
      <c r="A3117" s="2" t="s">
        <v>432</v>
      </c>
      <c r="B3117" s="2" t="s">
        <v>1054</v>
      </c>
      <c r="C3117" s="5" t="s">
        <v>4883</v>
      </c>
      <c r="D3117" s="2" t="s">
        <v>4884</v>
      </c>
    </row>
    <row r="3118" spans="1:4" ht="13.05" customHeight="1" x14ac:dyDescent="0.3">
      <c r="A3118" s="2" t="s">
        <v>432</v>
      </c>
      <c r="B3118" s="2" t="s">
        <v>1054</v>
      </c>
      <c r="C3118" s="5" t="s">
        <v>4885</v>
      </c>
      <c r="D3118" s="2" t="s">
        <v>4886</v>
      </c>
    </row>
    <row r="3119" spans="1:4" ht="13.05" customHeight="1" x14ac:dyDescent="0.3">
      <c r="A3119" s="2" t="s">
        <v>432</v>
      </c>
      <c r="B3119" s="2" t="s">
        <v>1054</v>
      </c>
      <c r="C3119" s="5" t="s">
        <v>4887</v>
      </c>
      <c r="D3119" s="2" t="s">
        <v>3548</v>
      </c>
    </row>
    <row r="3120" spans="1:4" ht="13.05" customHeight="1" x14ac:dyDescent="0.3">
      <c r="A3120" s="2" t="s">
        <v>432</v>
      </c>
      <c r="B3120" s="2" t="s">
        <v>1054</v>
      </c>
      <c r="C3120" s="5" t="s">
        <v>4888</v>
      </c>
      <c r="D3120" s="2" t="s">
        <v>4070</v>
      </c>
    </row>
    <row r="3121" spans="1:4" ht="13.05" customHeight="1" x14ac:dyDescent="0.3">
      <c r="A3121" s="2" t="s">
        <v>432</v>
      </c>
      <c r="B3121" s="2" t="s">
        <v>1054</v>
      </c>
      <c r="C3121" s="5" t="s">
        <v>4889</v>
      </c>
      <c r="D3121" s="2" t="s">
        <v>3365</v>
      </c>
    </row>
    <row r="3122" spans="1:4" ht="13.05" customHeight="1" x14ac:dyDescent="0.3">
      <c r="A3122" s="2" t="s">
        <v>432</v>
      </c>
      <c r="B3122" s="2" t="s">
        <v>1054</v>
      </c>
      <c r="C3122" s="5" t="s">
        <v>4890</v>
      </c>
      <c r="D3122" s="2" t="s">
        <v>3389</v>
      </c>
    </row>
    <row r="3123" spans="1:4" ht="13.05" customHeight="1" x14ac:dyDescent="0.3">
      <c r="A3123" s="2" t="s">
        <v>432</v>
      </c>
      <c r="B3123" s="2" t="s">
        <v>1054</v>
      </c>
      <c r="C3123" s="5" t="s">
        <v>4891</v>
      </c>
      <c r="D3123" s="2" t="s">
        <v>3566</v>
      </c>
    </row>
    <row r="3124" spans="1:4" ht="13.05" customHeight="1" x14ac:dyDescent="0.3">
      <c r="A3124" s="2" t="s">
        <v>432</v>
      </c>
      <c r="B3124" s="2" t="s">
        <v>1054</v>
      </c>
      <c r="C3124" s="5" t="s">
        <v>4892</v>
      </c>
      <c r="D3124" s="2" t="s">
        <v>3570</v>
      </c>
    </row>
    <row r="3125" spans="1:4" ht="13.05" customHeight="1" x14ac:dyDescent="0.3">
      <c r="A3125" s="2" t="s">
        <v>432</v>
      </c>
      <c r="B3125" s="2" t="s">
        <v>1054</v>
      </c>
      <c r="C3125" s="5" t="s">
        <v>4893</v>
      </c>
      <c r="D3125" s="2" t="s">
        <v>3572</v>
      </c>
    </row>
    <row r="3126" spans="1:4" ht="13.05" customHeight="1" x14ac:dyDescent="0.3">
      <c r="A3126" s="2" t="s">
        <v>432</v>
      </c>
      <c r="B3126" s="2" t="s">
        <v>1054</v>
      </c>
      <c r="C3126" s="5" t="s">
        <v>4894</v>
      </c>
      <c r="D3126" s="2" t="s">
        <v>3574</v>
      </c>
    </row>
    <row r="3127" spans="1:4" ht="13.05" customHeight="1" x14ac:dyDescent="0.3">
      <c r="A3127" s="2" t="s">
        <v>432</v>
      </c>
      <c r="B3127" s="2" t="s">
        <v>1054</v>
      </c>
      <c r="C3127" s="5" t="s">
        <v>4895</v>
      </c>
      <c r="D3127" s="2" t="s">
        <v>3765</v>
      </c>
    </row>
    <row r="3128" spans="1:4" ht="13.05" customHeight="1" x14ac:dyDescent="0.3">
      <c r="A3128" s="2" t="s">
        <v>432</v>
      </c>
      <c r="B3128" s="2" t="s">
        <v>1054</v>
      </c>
      <c r="C3128" s="5" t="s">
        <v>4896</v>
      </c>
      <c r="D3128" s="2" t="s">
        <v>3578</v>
      </c>
    </row>
    <row r="3129" spans="1:4" ht="13.05" customHeight="1" x14ac:dyDescent="0.3">
      <c r="A3129" s="2" t="s">
        <v>432</v>
      </c>
      <c r="B3129" s="2" t="s">
        <v>1054</v>
      </c>
      <c r="C3129" s="5" t="s">
        <v>4897</v>
      </c>
      <c r="D3129" s="2" t="s">
        <v>3393</v>
      </c>
    </row>
    <row r="3130" spans="1:4" ht="13.05" customHeight="1" x14ac:dyDescent="0.3">
      <c r="A3130" s="2" t="s">
        <v>432</v>
      </c>
      <c r="B3130" s="2" t="s">
        <v>1054</v>
      </c>
      <c r="C3130" s="5" t="s">
        <v>4898</v>
      </c>
      <c r="D3130" s="2" t="s">
        <v>3581</v>
      </c>
    </row>
    <row r="3131" spans="1:4" ht="13.05" customHeight="1" x14ac:dyDescent="0.3">
      <c r="A3131" s="2" t="s">
        <v>432</v>
      </c>
      <c r="B3131" s="2" t="s">
        <v>1054</v>
      </c>
      <c r="C3131" s="5" t="s">
        <v>4899</v>
      </c>
      <c r="D3131" s="2" t="s">
        <v>3397</v>
      </c>
    </row>
    <row r="3132" spans="1:4" ht="13.05" customHeight="1" x14ac:dyDescent="0.3">
      <c r="A3132" s="2" t="s">
        <v>432</v>
      </c>
      <c r="B3132" s="2" t="s">
        <v>1054</v>
      </c>
      <c r="C3132" s="5" t="s">
        <v>4900</v>
      </c>
      <c r="D3132" s="2" t="s">
        <v>4901</v>
      </c>
    </row>
    <row r="3133" spans="1:4" ht="13.05" customHeight="1" x14ac:dyDescent="0.3">
      <c r="A3133" s="2" t="s">
        <v>432</v>
      </c>
      <c r="B3133" s="2" t="s">
        <v>1054</v>
      </c>
      <c r="C3133" s="5" t="s">
        <v>4902</v>
      </c>
      <c r="D3133" s="2" t="s">
        <v>3586</v>
      </c>
    </row>
    <row r="3134" spans="1:4" ht="13.05" customHeight="1" x14ac:dyDescent="0.3">
      <c r="A3134" s="2" t="s">
        <v>432</v>
      </c>
      <c r="B3134" s="2" t="s">
        <v>1054</v>
      </c>
      <c r="C3134" s="5" t="s">
        <v>4903</v>
      </c>
      <c r="D3134" s="2" t="s">
        <v>4904</v>
      </c>
    </row>
    <row r="3135" spans="1:4" ht="13.05" customHeight="1" x14ac:dyDescent="0.3">
      <c r="A3135" s="2" t="s">
        <v>432</v>
      </c>
      <c r="B3135" s="2" t="s">
        <v>1054</v>
      </c>
      <c r="C3135" s="5" t="s">
        <v>4905</v>
      </c>
      <c r="D3135" s="2" t="s">
        <v>4906</v>
      </c>
    </row>
    <row r="3136" spans="1:4" ht="13.05" customHeight="1" x14ac:dyDescent="0.3">
      <c r="A3136" s="2" t="s">
        <v>432</v>
      </c>
      <c r="B3136" s="2" t="s">
        <v>1054</v>
      </c>
      <c r="C3136" s="5" t="s">
        <v>4907</v>
      </c>
      <c r="D3136" s="2" t="s">
        <v>4908</v>
      </c>
    </row>
    <row r="3137" spans="1:4" ht="13.05" customHeight="1" x14ac:dyDescent="0.3">
      <c r="A3137" s="2" t="s">
        <v>432</v>
      </c>
      <c r="B3137" s="2" t="s">
        <v>1054</v>
      </c>
      <c r="C3137" s="5" t="s">
        <v>4909</v>
      </c>
      <c r="D3137" s="2" t="s">
        <v>4910</v>
      </c>
    </row>
    <row r="3138" spans="1:4" ht="13.05" customHeight="1" x14ac:dyDescent="0.3">
      <c r="A3138" s="2" t="s">
        <v>432</v>
      </c>
      <c r="B3138" s="2" t="s">
        <v>1054</v>
      </c>
      <c r="C3138" s="5" t="s">
        <v>4911</v>
      </c>
      <c r="D3138" s="2" t="s">
        <v>4912</v>
      </c>
    </row>
    <row r="3139" spans="1:4" ht="13.05" customHeight="1" x14ac:dyDescent="0.3">
      <c r="A3139" s="2" t="s">
        <v>432</v>
      </c>
      <c r="B3139" s="2" t="s">
        <v>1054</v>
      </c>
      <c r="C3139" s="5" t="s">
        <v>4913</v>
      </c>
      <c r="D3139" s="2" t="s">
        <v>4914</v>
      </c>
    </row>
    <row r="3140" spans="1:4" ht="13.05" customHeight="1" x14ac:dyDescent="0.3">
      <c r="A3140" s="2" t="s">
        <v>432</v>
      </c>
      <c r="B3140" s="2" t="s">
        <v>1054</v>
      </c>
      <c r="C3140" s="5" t="s">
        <v>4915</v>
      </c>
      <c r="D3140" s="2" t="s">
        <v>4916</v>
      </c>
    </row>
    <row r="3141" spans="1:4" ht="13.05" customHeight="1" x14ac:dyDescent="0.3">
      <c r="A3141" s="2" t="s">
        <v>432</v>
      </c>
      <c r="B3141" s="2" t="s">
        <v>1054</v>
      </c>
      <c r="C3141" s="5" t="s">
        <v>4917</v>
      </c>
      <c r="D3141" s="2" t="s">
        <v>4918</v>
      </c>
    </row>
    <row r="3142" spans="1:4" ht="13.05" customHeight="1" x14ac:dyDescent="0.3">
      <c r="A3142" s="2" t="s">
        <v>432</v>
      </c>
      <c r="B3142" s="2" t="s">
        <v>1054</v>
      </c>
      <c r="C3142" s="5" t="s">
        <v>4919</v>
      </c>
      <c r="D3142" s="2" t="s">
        <v>3333</v>
      </c>
    </row>
    <row r="3143" spans="1:4" ht="13.05" customHeight="1" x14ac:dyDescent="0.3">
      <c r="A3143" s="2" t="s">
        <v>432</v>
      </c>
      <c r="B3143" s="2" t="s">
        <v>1054</v>
      </c>
      <c r="C3143" s="5" t="s">
        <v>4920</v>
      </c>
      <c r="D3143" s="2" t="s">
        <v>3335</v>
      </c>
    </row>
    <row r="3144" spans="1:4" ht="13.05" customHeight="1" x14ac:dyDescent="0.3">
      <c r="A3144" s="2" t="s">
        <v>432</v>
      </c>
      <c r="B3144" s="2" t="s">
        <v>1054</v>
      </c>
      <c r="C3144" s="5" t="s">
        <v>4921</v>
      </c>
      <c r="D3144" s="2" t="s">
        <v>4922</v>
      </c>
    </row>
    <row r="3145" spans="1:4" ht="13.05" customHeight="1" x14ac:dyDescent="0.3">
      <c r="A3145" s="2" t="s">
        <v>432</v>
      </c>
      <c r="B3145" s="2" t="s">
        <v>1054</v>
      </c>
      <c r="C3145" s="5" t="s">
        <v>4923</v>
      </c>
      <c r="D3145" s="2" t="s">
        <v>4924</v>
      </c>
    </row>
    <row r="3146" spans="1:4" ht="13.05" customHeight="1" x14ac:dyDescent="0.3">
      <c r="A3146" s="2" t="s">
        <v>432</v>
      </c>
      <c r="B3146" s="2" t="s">
        <v>1054</v>
      </c>
      <c r="C3146" s="5" t="s">
        <v>4925</v>
      </c>
      <c r="D3146" s="2" t="s">
        <v>4926</v>
      </c>
    </row>
    <row r="3147" spans="1:4" ht="13.05" customHeight="1" x14ac:dyDescent="0.3">
      <c r="A3147" s="2" t="s">
        <v>432</v>
      </c>
      <c r="B3147" s="2" t="s">
        <v>1054</v>
      </c>
      <c r="C3147" s="5" t="s">
        <v>4927</v>
      </c>
      <c r="D3147" s="2" t="s">
        <v>4928</v>
      </c>
    </row>
    <row r="3148" spans="1:4" ht="13.05" customHeight="1" x14ac:dyDescent="0.3">
      <c r="A3148" s="2" t="s">
        <v>432</v>
      </c>
      <c r="B3148" s="2" t="s">
        <v>1054</v>
      </c>
      <c r="C3148" s="5" t="s">
        <v>4929</v>
      </c>
      <c r="D3148" s="2" t="s">
        <v>4930</v>
      </c>
    </row>
    <row r="3149" spans="1:4" ht="13.05" customHeight="1" x14ac:dyDescent="0.3">
      <c r="A3149" s="2" t="s">
        <v>432</v>
      </c>
      <c r="B3149" s="2" t="s">
        <v>1054</v>
      </c>
      <c r="C3149" s="5" t="s">
        <v>4931</v>
      </c>
      <c r="D3149" s="2" t="s">
        <v>4932</v>
      </c>
    </row>
    <row r="3150" spans="1:4" ht="13.05" customHeight="1" x14ac:dyDescent="0.3">
      <c r="A3150" s="2" t="s">
        <v>432</v>
      </c>
      <c r="B3150" s="2" t="s">
        <v>1054</v>
      </c>
      <c r="C3150" s="5" t="s">
        <v>4933</v>
      </c>
      <c r="D3150" s="2" t="s">
        <v>3333</v>
      </c>
    </row>
    <row r="3151" spans="1:4" ht="13.05" customHeight="1" x14ac:dyDescent="0.3">
      <c r="A3151" s="2" t="s">
        <v>432</v>
      </c>
      <c r="B3151" s="2" t="s">
        <v>1054</v>
      </c>
      <c r="C3151" s="5" t="s">
        <v>4934</v>
      </c>
      <c r="D3151" s="2" t="s">
        <v>3335</v>
      </c>
    </row>
    <row r="3152" spans="1:4" ht="13.05" customHeight="1" x14ac:dyDescent="0.3">
      <c r="A3152" s="2" t="s">
        <v>432</v>
      </c>
      <c r="B3152" s="2" t="s">
        <v>1054</v>
      </c>
      <c r="C3152" s="5" t="s">
        <v>4935</v>
      </c>
      <c r="D3152" s="2" t="s">
        <v>4936</v>
      </c>
    </row>
    <row r="3153" spans="1:4" ht="13.05" customHeight="1" x14ac:dyDescent="0.3">
      <c r="A3153" s="2" t="s">
        <v>432</v>
      </c>
      <c r="B3153" s="2" t="s">
        <v>1054</v>
      </c>
      <c r="C3153" s="5" t="s">
        <v>4937</v>
      </c>
      <c r="D3153" s="2" t="s">
        <v>4938</v>
      </c>
    </row>
    <row r="3154" spans="1:4" ht="13.05" customHeight="1" x14ac:dyDescent="0.3">
      <c r="A3154" s="2" t="s">
        <v>432</v>
      </c>
      <c r="B3154" s="2" t="s">
        <v>1054</v>
      </c>
      <c r="C3154" s="5" t="s">
        <v>4939</v>
      </c>
      <c r="D3154" s="2" t="s">
        <v>4940</v>
      </c>
    </row>
    <row r="3155" spans="1:4" ht="13.05" customHeight="1" x14ac:dyDescent="0.3">
      <c r="A3155" s="2" t="s">
        <v>432</v>
      </c>
      <c r="B3155" s="2" t="s">
        <v>1054</v>
      </c>
      <c r="C3155" s="5" t="s">
        <v>4941</v>
      </c>
      <c r="D3155" s="2" t="s">
        <v>4942</v>
      </c>
    </row>
    <row r="3156" spans="1:4" ht="13.05" customHeight="1" x14ac:dyDescent="0.3">
      <c r="A3156" s="2" t="s">
        <v>432</v>
      </c>
      <c r="B3156" s="2" t="s">
        <v>1054</v>
      </c>
      <c r="C3156" s="5" t="s">
        <v>4943</v>
      </c>
      <c r="D3156" s="2" t="s">
        <v>4944</v>
      </c>
    </row>
    <row r="3157" spans="1:4" ht="13.05" customHeight="1" x14ac:dyDescent="0.3">
      <c r="A3157" s="2" t="s">
        <v>432</v>
      </c>
      <c r="B3157" s="2" t="s">
        <v>1054</v>
      </c>
      <c r="C3157" s="5" t="s">
        <v>4945</v>
      </c>
      <c r="D3157" s="2" t="s">
        <v>4946</v>
      </c>
    </row>
    <row r="3158" spans="1:4" ht="13.05" customHeight="1" x14ac:dyDescent="0.3">
      <c r="A3158" s="2" t="s">
        <v>432</v>
      </c>
      <c r="B3158" s="2" t="s">
        <v>1054</v>
      </c>
      <c r="C3158" s="5" t="s">
        <v>4947</v>
      </c>
      <c r="D3158" s="2" t="s">
        <v>4948</v>
      </c>
    </row>
    <row r="3159" spans="1:4" ht="13.05" customHeight="1" x14ac:dyDescent="0.3">
      <c r="A3159" s="2" t="s">
        <v>432</v>
      </c>
      <c r="B3159" s="2" t="s">
        <v>1054</v>
      </c>
      <c r="C3159" s="5" t="s">
        <v>4949</v>
      </c>
      <c r="D3159" s="2" t="s">
        <v>4950</v>
      </c>
    </row>
    <row r="3160" spans="1:4" ht="13.05" customHeight="1" x14ac:dyDescent="0.3">
      <c r="A3160" s="2" t="s">
        <v>432</v>
      </c>
      <c r="B3160" s="2" t="s">
        <v>1054</v>
      </c>
      <c r="C3160" s="5" t="s">
        <v>4951</v>
      </c>
      <c r="D3160" s="2" t="s">
        <v>4952</v>
      </c>
    </row>
    <row r="3161" spans="1:4" ht="13.05" customHeight="1" x14ac:dyDescent="0.3">
      <c r="A3161" s="2" t="s">
        <v>432</v>
      </c>
      <c r="B3161" s="2" t="s">
        <v>1054</v>
      </c>
      <c r="C3161" s="5" t="s">
        <v>4953</v>
      </c>
      <c r="D3161" s="2" t="s">
        <v>4954</v>
      </c>
    </row>
    <row r="3162" spans="1:4" ht="13.05" customHeight="1" x14ac:dyDescent="0.3">
      <c r="A3162" s="2" t="s">
        <v>432</v>
      </c>
      <c r="B3162" s="2" t="s">
        <v>1054</v>
      </c>
      <c r="C3162" s="5" t="s">
        <v>4955</v>
      </c>
      <c r="D3162" s="2" t="s">
        <v>4956</v>
      </c>
    </row>
    <row r="3163" spans="1:4" ht="13.05" customHeight="1" x14ac:dyDescent="0.3">
      <c r="A3163" s="2" t="s">
        <v>432</v>
      </c>
      <c r="B3163" s="2" t="s">
        <v>1054</v>
      </c>
      <c r="C3163" s="5" t="s">
        <v>4957</v>
      </c>
      <c r="D3163" s="2" t="s">
        <v>4958</v>
      </c>
    </row>
    <row r="3164" spans="1:4" ht="13.05" customHeight="1" x14ac:dyDescent="0.3">
      <c r="A3164" s="2" t="s">
        <v>432</v>
      </c>
      <c r="B3164" s="2" t="s">
        <v>1054</v>
      </c>
      <c r="C3164" s="5" t="s">
        <v>4959</v>
      </c>
      <c r="D3164" s="2" t="s">
        <v>4960</v>
      </c>
    </row>
    <row r="3165" spans="1:4" ht="13.05" customHeight="1" x14ac:dyDescent="0.3">
      <c r="A3165" s="2" t="s">
        <v>432</v>
      </c>
      <c r="B3165" s="2" t="s">
        <v>1054</v>
      </c>
      <c r="C3165" s="5" t="s">
        <v>4961</v>
      </c>
      <c r="D3165" s="2" t="s">
        <v>4962</v>
      </c>
    </row>
    <row r="3166" spans="1:4" ht="13.05" customHeight="1" x14ac:dyDescent="0.3">
      <c r="A3166" s="2" t="s">
        <v>432</v>
      </c>
      <c r="B3166" s="2" t="s">
        <v>1054</v>
      </c>
      <c r="C3166" s="5" t="s">
        <v>4963</v>
      </c>
      <c r="D3166" s="2" t="s">
        <v>4964</v>
      </c>
    </row>
    <row r="3167" spans="1:4" ht="13.05" customHeight="1" x14ac:dyDescent="0.3">
      <c r="A3167" s="2" t="s">
        <v>432</v>
      </c>
      <c r="B3167" s="2" t="s">
        <v>1054</v>
      </c>
      <c r="C3167" s="5" t="s">
        <v>4965</v>
      </c>
      <c r="D3167" s="2" t="s">
        <v>4966</v>
      </c>
    </row>
    <row r="3168" spans="1:4" ht="13.05" customHeight="1" x14ac:dyDescent="0.3">
      <c r="A3168" s="2" t="s">
        <v>432</v>
      </c>
      <c r="B3168" s="2" t="s">
        <v>1054</v>
      </c>
      <c r="C3168" s="5" t="s">
        <v>4967</v>
      </c>
      <c r="D3168" s="2" t="s">
        <v>4968</v>
      </c>
    </row>
    <row r="3169" spans="1:4" ht="13.05" customHeight="1" x14ac:dyDescent="0.3">
      <c r="A3169" s="2" t="s">
        <v>432</v>
      </c>
      <c r="B3169" s="2" t="s">
        <v>1054</v>
      </c>
      <c r="C3169" s="5" t="s">
        <v>4969</v>
      </c>
      <c r="D3169" s="2" t="s">
        <v>3333</v>
      </c>
    </row>
    <row r="3170" spans="1:4" ht="13.05" customHeight="1" x14ac:dyDescent="0.3">
      <c r="A3170" s="2" t="s">
        <v>432</v>
      </c>
      <c r="B3170" s="2" t="s">
        <v>1054</v>
      </c>
      <c r="C3170" s="5" t="s">
        <v>4970</v>
      </c>
      <c r="D3170" s="2" t="s">
        <v>3447</v>
      </c>
    </row>
    <row r="3171" spans="1:4" ht="13.05" customHeight="1" x14ac:dyDescent="0.3">
      <c r="A3171" s="2" t="s">
        <v>432</v>
      </c>
      <c r="B3171" s="2" t="s">
        <v>1054</v>
      </c>
      <c r="C3171" s="5" t="s">
        <v>4971</v>
      </c>
      <c r="D3171" s="2" t="s">
        <v>4972</v>
      </c>
    </row>
    <row r="3172" spans="1:4" ht="13.05" customHeight="1" x14ac:dyDescent="0.3">
      <c r="A3172" s="2" t="s">
        <v>432</v>
      </c>
      <c r="B3172" s="2" t="s">
        <v>1054</v>
      </c>
      <c r="C3172" s="5" t="s">
        <v>4973</v>
      </c>
      <c r="D3172" s="2" t="s">
        <v>4974</v>
      </c>
    </row>
    <row r="3173" spans="1:4" ht="13.05" customHeight="1" x14ac:dyDescent="0.3">
      <c r="A3173" s="2" t="s">
        <v>432</v>
      </c>
      <c r="B3173" s="2" t="s">
        <v>1054</v>
      </c>
      <c r="C3173" s="5" t="s">
        <v>4975</v>
      </c>
      <c r="D3173" s="2" t="s">
        <v>4258</v>
      </c>
    </row>
    <row r="3174" spans="1:4" ht="13.05" customHeight="1" x14ac:dyDescent="0.3">
      <c r="A3174" s="2" t="s">
        <v>432</v>
      </c>
      <c r="B3174" s="2" t="s">
        <v>1054</v>
      </c>
      <c r="C3174" s="5" t="s">
        <v>4976</v>
      </c>
      <c r="D3174" s="2" t="s">
        <v>4977</v>
      </c>
    </row>
    <row r="3175" spans="1:4" ht="13.05" customHeight="1" x14ac:dyDescent="0.3">
      <c r="A3175" s="2" t="s">
        <v>432</v>
      </c>
      <c r="B3175" s="2" t="s">
        <v>1054</v>
      </c>
      <c r="C3175" s="5" t="s">
        <v>4978</v>
      </c>
      <c r="D3175" s="2" t="s">
        <v>4979</v>
      </c>
    </row>
    <row r="3176" spans="1:4" ht="13.05" customHeight="1" x14ac:dyDescent="0.3">
      <c r="A3176" s="2" t="s">
        <v>432</v>
      </c>
      <c r="B3176" s="2" t="s">
        <v>1054</v>
      </c>
      <c r="C3176" s="5" t="s">
        <v>4980</v>
      </c>
      <c r="D3176" s="2" t="s">
        <v>4981</v>
      </c>
    </row>
    <row r="3177" spans="1:4" ht="13.05" customHeight="1" x14ac:dyDescent="0.3">
      <c r="A3177" s="2" t="s">
        <v>432</v>
      </c>
      <c r="B3177" s="2" t="s">
        <v>1054</v>
      </c>
      <c r="C3177" s="5" t="s">
        <v>4982</v>
      </c>
      <c r="D3177" s="2" t="s">
        <v>1067</v>
      </c>
    </row>
    <row r="3178" spans="1:4" ht="13.05" customHeight="1" x14ac:dyDescent="0.3">
      <c r="A3178" s="2" t="s">
        <v>432</v>
      </c>
      <c r="B3178" s="2" t="s">
        <v>1054</v>
      </c>
      <c r="C3178" s="5" t="s">
        <v>4983</v>
      </c>
      <c r="D3178" s="2" t="s">
        <v>1073</v>
      </c>
    </row>
    <row r="3179" spans="1:4" ht="13.05" customHeight="1" x14ac:dyDescent="0.3">
      <c r="A3179" s="2" t="s">
        <v>432</v>
      </c>
      <c r="B3179" s="2" t="s">
        <v>1054</v>
      </c>
      <c r="C3179" s="5" t="s">
        <v>4984</v>
      </c>
      <c r="D3179" s="2" t="s">
        <v>1075</v>
      </c>
    </row>
    <row r="3180" spans="1:4" ht="13.05" customHeight="1" x14ac:dyDescent="0.3">
      <c r="A3180" s="2" t="s">
        <v>432</v>
      </c>
      <c r="B3180" s="2" t="s">
        <v>1054</v>
      </c>
      <c r="C3180" s="5" t="s">
        <v>4985</v>
      </c>
      <c r="D3180" s="2" t="s">
        <v>1077</v>
      </c>
    </row>
    <row r="3181" spans="1:4" ht="13.05" customHeight="1" x14ac:dyDescent="0.3">
      <c r="A3181" s="2" t="s">
        <v>432</v>
      </c>
      <c r="B3181" s="2" t="s">
        <v>1054</v>
      </c>
      <c r="C3181" s="5" t="s">
        <v>4986</v>
      </c>
      <c r="D3181" s="2" t="s">
        <v>4987</v>
      </c>
    </row>
    <row r="3182" spans="1:4" ht="13.05" customHeight="1" x14ac:dyDescent="0.3">
      <c r="A3182" s="2" t="s">
        <v>432</v>
      </c>
      <c r="B3182" s="2" t="s">
        <v>1054</v>
      </c>
      <c r="C3182" s="5" t="s">
        <v>4988</v>
      </c>
      <c r="D3182" s="2" t="s">
        <v>4989</v>
      </c>
    </row>
    <row r="3183" spans="1:4" ht="13.05" customHeight="1" x14ac:dyDescent="0.3">
      <c r="A3183" s="2" t="s">
        <v>432</v>
      </c>
      <c r="B3183" s="2" t="s">
        <v>1054</v>
      </c>
      <c r="C3183" s="5" t="s">
        <v>4990</v>
      </c>
      <c r="D3183" s="2" t="s">
        <v>4991</v>
      </c>
    </row>
    <row r="3184" spans="1:4" ht="13.05" customHeight="1" x14ac:dyDescent="0.3">
      <c r="A3184" s="2" t="s">
        <v>432</v>
      </c>
      <c r="B3184" s="2" t="s">
        <v>1054</v>
      </c>
      <c r="C3184" s="5" t="s">
        <v>4992</v>
      </c>
      <c r="D3184" s="2" t="s">
        <v>4993</v>
      </c>
    </row>
    <row r="3185" spans="1:4" ht="13.05" customHeight="1" x14ac:dyDescent="0.3">
      <c r="A3185" s="2" t="s">
        <v>432</v>
      </c>
      <c r="B3185" s="2" t="s">
        <v>1054</v>
      </c>
      <c r="C3185" s="5" t="s">
        <v>4994</v>
      </c>
      <c r="D3185" s="2" t="s">
        <v>3656</v>
      </c>
    </row>
    <row r="3186" spans="1:4" ht="13.05" customHeight="1" x14ac:dyDescent="0.3">
      <c r="A3186" s="2" t="s">
        <v>432</v>
      </c>
      <c r="B3186" s="2" t="s">
        <v>1054</v>
      </c>
      <c r="C3186" s="5" t="s">
        <v>4995</v>
      </c>
      <c r="D3186" s="2" t="s">
        <v>3652</v>
      </c>
    </row>
    <row r="3187" spans="1:4" ht="13.05" customHeight="1" x14ac:dyDescent="0.3">
      <c r="A3187" s="2" t="s">
        <v>432</v>
      </c>
      <c r="B3187" s="2" t="s">
        <v>1054</v>
      </c>
      <c r="C3187" s="5" t="s">
        <v>4996</v>
      </c>
      <c r="D3187" s="2" t="s">
        <v>3333</v>
      </c>
    </row>
    <row r="3188" spans="1:4" ht="13.05" customHeight="1" x14ac:dyDescent="0.3">
      <c r="A3188" s="2" t="s">
        <v>432</v>
      </c>
      <c r="B3188" s="2" t="s">
        <v>1054</v>
      </c>
      <c r="C3188" s="5" t="s">
        <v>4997</v>
      </c>
      <c r="D3188" s="2" t="s">
        <v>3447</v>
      </c>
    </row>
    <row r="3189" spans="1:4" ht="13.05" customHeight="1" x14ac:dyDescent="0.3">
      <c r="A3189" s="2" t="s">
        <v>432</v>
      </c>
      <c r="B3189" s="2" t="s">
        <v>1054</v>
      </c>
      <c r="C3189" s="5" t="s">
        <v>4998</v>
      </c>
      <c r="D3189" s="2" t="s">
        <v>4999</v>
      </c>
    </row>
    <row r="3190" spans="1:4" ht="13.05" customHeight="1" x14ac:dyDescent="0.3">
      <c r="A3190" s="2" t="s">
        <v>432</v>
      </c>
      <c r="B3190" s="2" t="s">
        <v>1054</v>
      </c>
      <c r="C3190" s="5" t="s">
        <v>5000</v>
      </c>
      <c r="D3190" s="2" t="s">
        <v>5001</v>
      </c>
    </row>
    <row r="3191" spans="1:4" ht="13.05" customHeight="1" x14ac:dyDescent="0.3">
      <c r="A3191" s="2" t="s">
        <v>432</v>
      </c>
      <c r="B3191" s="2" t="s">
        <v>1054</v>
      </c>
      <c r="C3191" s="5" t="s">
        <v>5002</v>
      </c>
      <c r="D3191" s="2" t="s">
        <v>5003</v>
      </c>
    </row>
    <row r="3192" spans="1:4" ht="13.05" customHeight="1" x14ac:dyDescent="0.3">
      <c r="A3192" s="2" t="s">
        <v>432</v>
      </c>
      <c r="B3192" s="2" t="s">
        <v>1054</v>
      </c>
      <c r="C3192" s="5" t="s">
        <v>5004</v>
      </c>
      <c r="D3192" s="2" t="s">
        <v>5005</v>
      </c>
    </row>
    <row r="3193" spans="1:4" ht="13.05" customHeight="1" x14ac:dyDescent="0.3">
      <c r="A3193" s="2" t="s">
        <v>432</v>
      </c>
      <c r="B3193" s="2" t="s">
        <v>1054</v>
      </c>
      <c r="C3193" s="5" t="s">
        <v>5006</v>
      </c>
      <c r="D3193" s="2" t="s">
        <v>5007</v>
      </c>
    </row>
    <row r="3194" spans="1:4" ht="13.05" customHeight="1" x14ac:dyDescent="0.3">
      <c r="A3194" s="2" t="s">
        <v>432</v>
      </c>
      <c r="B3194" s="2" t="s">
        <v>1054</v>
      </c>
      <c r="C3194" s="5" t="s">
        <v>5008</v>
      </c>
      <c r="D3194" s="2" t="s">
        <v>5009</v>
      </c>
    </row>
    <row r="3195" spans="1:4" ht="13.05" customHeight="1" x14ac:dyDescent="0.3">
      <c r="A3195" s="2" t="s">
        <v>432</v>
      </c>
      <c r="B3195" s="2" t="s">
        <v>1054</v>
      </c>
      <c r="C3195" s="5" t="s">
        <v>5010</v>
      </c>
      <c r="D3195" s="2" t="s">
        <v>5011</v>
      </c>
    </row>
    <row r="3196" spans="1:4" ht="13.05" customHeight="1" x14ac:dyDescent="0.3">
      <c r="A3196" s="2" t="s">
        <v>432</v>
      </c>
      <c r="B3196" s="2" t="s">
        <v>1054</v>
      </c>
      <c r="C3196" s="5" t="s">
        <v>5012</v>
      </c>
      <c r="D3196" s="2" t="s">
        <v>5013</v>
      </c>
    </row>
    <row r="3197" spans="1:4" ht="13.05" customHeight="1" x14ac:dyDescent="0.3">
      <c r="A3197" s="2" t="s">
        <v>432</v>
      </c>
      <c r="B3197" s="2" t="s">
        <v>1054</v>
      </c>
      <c r="C3197" s="5" t="s">
        <v>5014</v>
      </c>
      <c r="D3197" s="2" t="s">
        <v>3333</v>
      </c>
    </row>
    <row r="3198" spans="1:4" ht="13.05" customHeight="1" x14ac:dyDescent="0.3">
      <c r="A3198" s="2" t="s">
        <v>432</v>
      </c>
      <c r="B3198" s="2" t="s">
        <v>1054</v>
      </c>
      <c r="C3198" s="5" t="s">
        <v>5015</v>
      </c>
      <c r="D3198" s="2" t="s">
        <v>3447</v>
      </c>
    </row>
    <row r="3199" spans="1:4" ht="13.05" customHeight="1" x14ac:dyDescent="0.3">
      <c r="A3199" s="2" t="s">
        <v>432</v>
      </c>
      <c r="B3199" s="2" t="s">
        <v>1054</v>
      </c>
      <c r="C3199" s="5" t="s">
        <v>5016</v>
      </c>
      <c r="D3199" s="2" t="s">
        <v>5017</v>
      </c>
    </row>
    <row r="3200" spans="1:4" ht="13.05" customHeight="1" x14ac:dyDescent="0.3">
      <c r="A3200" s="2" t="s">
        <v>432</v>
      </c>
      <c r="B3200" s="2" t="s">
        <v>1054</v>
      </c>
      <c r="C3200" s="5" t="s">
        <v>5018</v>
      </c>
      <c r="D3200" s="2" t="s">
        <v>5019</v>
      </c>
    </row>
    <row r="3201" spans="1:4" ht="13.05" customHeight="1" x14ac:dyDescent="0.3">
      <c r="A3201" s="2" t="s">
        <v>432</v>
      </c>
      <c r="B3201" s="2" t="s">
        <v>1054</v>
      </c>
      <c r="C3201" s="5" t="s">
        <v>5020</v>
      </c>
      <c r="D3201" s="2" t="s">
        <v>5021</v>
      </c>
    </row>
    <row r="3202" spans="1:4" ht="13.05" customHeight="1" x14ac:dyDescent="0.3">
      <c r="A3202" s="2" t="s">
        <v>432</v>
      </c>
      <c r="B3202" s="2" t="s">
        <v>1054</v>
      </c>
      <c r="C3202" s="5" t="s">
        <v>5022</v>
      </c>
      <c r="D3202" s="2" t="s">
        <v>5023</v>
      </c>
    </row>
    <row r="3203" spans="1:4" ht="13.05" customHeight="1" x14ac:dyDescent="0.3">
      <c r="A3203" s="2" t="s">
        <v>432</v>
      </c>
      <c r="B3203" s="2" t="s">
        <v>1054</v>
      </c>
      <c r="C3203" s="5" t="s">
        <v>5024</v>
      </c>
      <c r="D3203" s="2" t="s">
        <v>5025</v>
      </c>
    </row>
    <row r="3204" spans="1:4" ht="13.05" customHeight="1" x14ac:dyDescent="0.3">
      <c r="A3204" s="2" t="s">
        <v>432</v>
      </c>
      <c r="B3204" s="2" t="s">
        <v>1054</v>
      </c>
      <c r="C3204" s="5" t="s">
        <v>5026</v>
      </c>
      <c r="D3204" s="2" t="s">
        <v>5027</v>
      </c>
    </row>
    <row r="3205" spans="1:4" ht="13.05" customHeight="1" x14ac:dyDescent="0.3">
      <c r="A3205" s="2" t="s">
        <v>432</v>
      </c>
      <c r="B3205" s="2" t="s">
        <v>1054</v>
      </c>
      <c r="C3205" s="5" t="s">
        <v>5028</v>
      </c>
      <c r="D3205" s="2" t="s">
        <v>5029</v>
      </c>
    </row>
    <row r="3206" spans="1:4" ht="13.05" customHeight="1" x14ac:dyDescent="0.3">
      <c r="A3206" s="2" t="s">
        <v>432</v>
      </c>
      <c r="B3206" s="2" t="s">
        <v>1054</v>
      </c>
      <c r="C3206" s="5" t="s">
        <v>5030</v>
      </c>
      <c r="D3206" s="2" t="s">
        <v>5031</v>
      </c>
    </row>
    <row r="3207" spans="1:4" ht="13.05" customHeight="1" x14ac:dyDescent="0.3">
      <c r="A3207" s="2" t="s">
        <v>432</v>
      </c>
      <c r="B3207" s="2" t="s">
        <v>1054</v>
      </c>
      <c r="C3207" s="5" t="s">
        <v>5032</v>
      </c>
      <c r="D3207" s="2" t="s">
        <v>5033</v>
      </c>
    </row>
    <row r="3208" spans="1:4" ht="13.05" customHeight="1" x14ac:dyDescent="0.3">
      <c r="A3208" s="2" t="s">
        <v>432</v>
      </c>
      <c r="B3208" s="2" t="s">
        <v>1054</v>
      </c>
      <c r="C3208" s="5" t="s">
        <v>5034</v>
      </c>
      <c r="D3208" s="2" t="s">
        <v>5035</v>
      </c>
    </row>
    <row r="3209" spans="1:4" ht="13.05" customHeight="1" x14ac:dyDescent="0.3">
      <c r="A3209" s="2" t="s">
        <v>432</v>
      </c>
      <c r="B3209" s="2" t="s">
        <v>1054</v>
      </c>
      <c r="C3209" s="5" t="s">
        <v>5036</v>
      </c>
      <c r="D3209" s="2" t="s">
        <v>5037</v>
      </c>
    </row>
    <row r="3210" spans="1:4" ht="13.05" customHeight="1" x14ac:dyDescent="0.3">
      <c r="A3210" s="2" t="s">
        <v>432</v>
      </c>
      <c r="B3210" s="2" t="s">
        <v>1054</v>
      </c>
      <c r="C3210" s="5" t="s">
        <v>5038</v>
      </c>
      <c r="D3210" s="2" t="s">
        <v>5039</v>
      </c>
    </row>
    <row r="3211" spans="1:4" ht="13.05" customHeight="1" x14ac:dyDescent="0.3">
      <c r="A3211" s="2" t="s">
        <v>432</v>
      </c>
      <c r="B3211" s="2" t="s">
        <v>1054</v>
      </c>
      <c r="C3211" s="5" t="s">
        <v>5040</v>
      </c>
      <c r="D3211" s="2" t="s">
        <v>5041</v>
      </c>
    </row>
    <row r="3212" spans="1:4" ht="13.05" customHeight="1" x14ac:dyDescent="0.3">
      <c r="A3212" s="2" t="s">
        <v>432</v>
      </c>
      <c r="B3212" s="2" t="s">
        <v>1054</v>
      </c>
      <c r="C3212" s="5" t="s">
        <v>5042</v>
      </c>
      <c r="D3212" s="2" t="s">
        <v>5043</v>
      </c>
    </row>
    <row r="3213" spans="1:4" ht="13.05" customHeight="1" x14ac:dyDescent="0.3">
      <c r="A3213" s="2" t="s">
        <v>432</v>
      </c>
      <c r="B3213" s="2" t="s">
        <v>1054</v>
      </c>
      <c r="C3213" s="5" t="s">
        <v>5044</v>
      </c>
      <c r="D3213" s="2" t="s">
        <v>5045</v>
      </c>
    </row>
    <row r="3214" spans="1:4" ht="13.05" customHeight="1" x14ac:dyDescent="0.3">
      <c r="A3214" s="2" t="s">
        <v>432</v>
      </c>
      <c r="B3214" s="2" t="s">
        <v>1054</v>
      </c>
      <c r="C3214" s="5" t="s">
        <v>5046</v>
      </c>
      <c r="D3214" s="2" t="s">
        <v>5047</v>
      </c>
    </row>
    <row r="3215" spans="1:4" ht="13.05" customHeight="1" x14ac:dyDescent="0.3">
      <c r="A3215" s="2" t="s">
        <v>432</v>
      </c>
      <c r="B3215" s="2" t="s">
        <v>1054</v>
      </c>
      <c r="C3215" s="5" t="s">
        <v>5048</v>
      </c>
      <c r="D3215" s="2" t="s">
        <v>3445</v>
      </c>
    </row>
    <row r="3216" spans="1:4" ht="13.05" customHeight="1" x14ac:dyDescent="0.3">
      <c r="A3216" s="2" t="s">
        <v>432</v>
      </c>
      <c r="B3216" s="2" t="s">
        <v>1054</v>
      </c>
      <c r="C3216" s="5" t="s">
        <v>5049</v>
      </c>
      <c r="D3216" s="2" t="s">
        <v>3447</v>
      </c>
    </row>
    <row r="3217" spans="1:4" ht="13.05" customHeight="1" x14ac:dyDescent="0.3">
      <c r="A3217" s="2" t="s">
        <v>432</v>
      </c>
      <c r="B3217" s="2" t="s">
        <v>1054</v>
      </c>
      <c r="C3217" s="5" t="s">
        <v>5050</v>
      </c>
      <c r="D3217" s="2" t="s">
        <v>5051</v>
      </c>
    </row>
    <row r="3218" spans="1:4" ht="13.05" customHeight="1" x14ac:dyDescent="0.3">
      <c r="A3218" s="2" t="s">
        <v>432</v>
      </c>
      <c r="B3218" s="2" t="s">
        <v>1054</v>
      </c>
      <c r="C3218" s="5" t="s">
        <v>5052</v>
      </c>
      <c r="D3218" s="2" t="s">
        <v>5053</v>
      </c>
    </row>
    <row r="3219" spans="1:4" ht="13.05" customHeight="1" x14ac:dyDescent="0.3">
      <c r="A3219" s="2" t="s">
        <v>432</v>
      </c>
      <c r="B3219" s="2" t="s">
        <v>1054</v>
      </c>
      <c r="C3219" s="5" t="s">
        <v>5054</v>
      </c>
      <c r="D3219" s="2" t="s">
        <v>5055</v>
      </c>
    </row>
    <row r="3220" spans="1:4" ht="13.05" customHeight="1" x14ac:dyDescent="0.3">
      <c r="A3220" s="2" t="s">
        <v>432</v>
      </c>
      <c r="B3220" s="2" t="s">
        <v>1054</v>
      </c>
      <c r="C3220" s="5" t="s">
        <v>5056</v>
      </c>
      <c r="D3220" s="2" t="s">
        <v>3367</v>
      </c>
    </row>
    <row r="3221" spans="1:4" ht="13.05" customHeight="1" x14ac:dyDescent="0.3">
      <c r="A3221" s="2" t="s">
        <v>432</v>
      </c>
      <c r="B3221" s="2" t="s">
        <v>1054</v>
      </c>
      <c r="C3221" s="5" t="s">
        <v>5057</v>
      </c>
      <c r="D3221" s="2" t="s">
        <v>5058</v>
      </c>
    </row>
    <row r="3222" spans="1:4" ht="13.05" customHeight="1" x14ac:dyDescent="0.3">
      <c r="A3222" s="2" t="s">
        <v>432</v>
      </c>
      <c r="B3222" s="2" t="s">
        <v>1054</v>
      </c>
      <c r="C3222" s="5" t="s">
        <v>5059</v>
      </c>
      <c r="D3222" s="2" t="s">
        <v>5060</v>
      </c>
    </row>
    <row r="3223" spans="1:4" ht="13.05" customHeight="1" x14ac:dyDescent="0.3">
      <c r="A3223" s="2" t="s">
        <v>432</v>
      </c>
      <c r="B3223" s="2" t="s">
        <v>1054</v>
      </c>
      <c r="C3223" s="5" t="s">
        <v>5061</v>
      </c>
      <c r="D3223" s="2" t="s">
        <v>5062</v>
      </c>
    </row>
    <row r="3224" spans="1:4" ht="13.05" customHeight="1" x14ac:dyDescent="0.3">
      <c r="A3224" s="2" t="s">
        <v>432</v>
      </c>
      <c r="B3224" s="2" t="s">
        <v>1054</v>
      </c>
      <c r="C3224" s="5" t="s">
        <v>5063</v>
      </c>
      <c r="D3224" s="2" t="s">
        <v>5064</v>
      </c>
    </row>
    <row r="3225" spans="1:4" ht="13.05" customHeight="1" x14ac:dyDescent="0.3">
      <c r="A3225" s="2" t="s">
        <v>432</v>
      </c>
      <c r="B3225" s="2" t="s">
        <v>1054</v>
      </c>
      <c r="C3225" s="5" t="s">
        <v>5065</v>
      </c>
      <c r="D3225" s="2" t="s">
        <v>5066</v>
      </c>
    </row>
    <row r="3226" spans="1:4" ht="13.05" customHeight="1" x14ac:dyDescent="0.3">
      <c r="A3226" s="2" t="s">
        <v>432</v>
      </c>
      <c r="B3226" s="2" t="s">
        <v>1054</v>
      </c>
      <c r="C3226" s="5" t="s">
        <v>5067</v>
      </c>
      <c r="D3226" s="2" t="s">
        <v>5068</v>
      </c>
    </row>
    <row r="3227" spans="1:4" ht="13.05" customHeight="1" x14ac:dyDescent="0.3">
      <c r="A3227" s="2" t="s">
        <v>432</v>
      </c>
      <c r="B3227" s="2" t="s">
        <v>1054</v>
      </c>
      <c r="C3227" s="5" t="s">
        <v>5069</v>
      </c>
      <c r="D3227" s="2" t="s">
        <v>5070</v>
      </c>
    </row>
    <row r="3228" spans="1:4" ht="13.05" customHeight="1" x14ac:dyDescent="0.3">
      <c r="A3228" s="2" t="s">
        <v>432</v>
      </c>
      <c r="B3228" s="2" t="s">
        <v>1054</v>
      </c>
      <c r="C3228" s="5" t="s">
        <v>5071</v>
      </c>
      <c r="D3228" s="2" t="s">
        <v>5072</v>
      </c>
    </row>
    <row r="3229" spans="1:4" ht="13.05" customHeight="1" x14ac:dyDescent="0.3">
      <c r="A3229" s="2" t="s">
        <v>432</v>
      </c>
      <c r="B3229" s="2" t="s">
        <v>1054</v>
      </c>
      <c r="C3229" s="5" t="s">
        <v>5073</v>
      </c>
      <c r="D3229" s="2" t="s">
        <v>5074</v>
      </c>
    </row>
    <row r="3230" spans="1:4" ht="13.05" customHeight="1" x14ac:dyDescent="0.3">
      <c r="A3230" s="2" t="s">
        <v>432</v>
      </c>
      <c r="B3230" s="2" t="s">
        <v>1054</v>
      </c>
      <c r="C3230" s="5" t="s">
        <v>5075</v>
      </c>
      <c r="D3230" s="2" t="s">
        <v>5076</v>
      </c>
    </row>
    <row r="3231" spans="1:4" ht="13.05" customHeight="1" x14ac:dyDescent="0.3">
      <c r="A3231" s="2" t="s">
        <v>432</v>
      </c>
      <c r="B3231" s="2" t="s">
        <v>1054</v>
      </c>
      <c r="C3231" s="5" t="s">
        <v>5077</v>
      </c>
      <c r="D3231" s="2" t="s">
        <v>5078</v>
      </c>
    </row>
    <row r="3232" spans="1:4" ht="13.05" customHeight="1" x14ac:dyDescent="0.3">
      <c r="A3232" s="2" t="s">
        <v>432</v>
      </c>
      <c r="B3232" s="2" t="s">
        <v>1054</v>
      </c>
      <c r="C3232" s="5" t="s">
        <v>5079</v>
      </c>
      <c r="D3232" s="2" t="s">
        <v>5080</v>
      </c>
    </row>
    <row r="3233" spans="1:4" ht="13.05" customHeight="1" x14ac:dyDescent="0.3">
      <c r="A3233" s="2" t="s">
        <v>432</v>
      </c>
      <c r="B3233" s="2" t="s">
        <v>1054</v>
      </c>
      <c r="C3233" s="5" t="s">
        <v>5081</v>
      </c>
      <c r="D3233" s="2" t="s">
        <v>5082</v>
      </c>
    </row>
    <row r="3234" spans="1:4" ht="13.05" customHeight="1" x14ac:dyDescent="0.3">
      <c r="A3234" s="2" t="s">
        <v>432</v>
      </c>
      <c r="B3234" s="2" t="s">
        <v>1054</v>
      </c>
      <c r="C3234" s="5" t="s">
        <v>5083</v>
      </c>
      <c r="D3234" s="2" t="s">
        <v>5084</v>
      </c>
    </row>
    <row r="3235" spans="1:4" ht="13.05" customHeight="1" x14ac:dyDescent="0.3">
      <c r="A3235" s="2" t="s">
        <v>432</v>
      </c>
      <c r="B3235" s="2" t="s">
        <v>1054</v>
      </c>
      <c r="C3235" s="5" t="s">
        <v>5085</v>
      </c>
      <c r="D3235" s="2" t="s">
        <v>5086</v>
      </c>
    </row>
    <row r="3236" spans="1:4" ht="13.05" customHeight="1" x14ac:dyDescent="0.3">
      <c r="A3236" s="2" t="s">
        <v>432</v>
      </c>
      <c r="B3236" s="2" t="s">
        <v>1054</v>
      </c>
      <c r="C3236" s="5" t="s">
        <v>5087</v>
      </c>
      <c r="D3236" s="2" t="s">
        <v>5088</v>
      </c>
    </row>
    <row r="3237" spans="1:4" ht="13.05" customHeight="1" x14ac:dyDescent="0.3">
      <c r="A3237" s="2" t="s">
        <v>432</v>
      </c>
      <c r="B3237" s="2" t="s">
        <v>1054</v>
      </c>
      <c r="C3237" s="5" t="s">
        <v>5089</v>
      </c>
      <c r="D3237" s="2" t="s">
        <v>5090</v>
      </c>
    </row>
    <row r="3238" spans="1:4" ht="13.05" customHeight="1" x14ac:dyDescent="0.3">
      <c r="A3238" s="2" t="s">
        <v>432</v>
      </c>
      <c r="B3238" s="2" t="s">
        <v>1054</v>
      </c>
      <c r="C3238" s="5" t="s">
        <v>5091</v>
      </c>
      <c r="D3238" s="2" t="s">
        <v>5092</v>
      </c>
    </row>
    <row r="3239" spans="1:4" ht="13.05" customHeight="1" x14ac:dyDescent="0.3">
      <c r="A3239" s="2" t="s">
        <v>432</v>
      </c>
      <c r="B3239" s="2" t="s">
        <v>1054</v>
      </c>
      <c r="C3239" s="5" t="s">
        <v>5093</v>
      </c>
      <c r="D3239" s="2" t="s">
        <v>5094</v>
      </c>
    </row>
    <row r="3240" spans="1:4" ht="13.05" customHeight="1" x14ac:dyDescent="0.3">
      <c r="A3240" s="2" t="s">
        <v>432</v>
      </c>
      <c r="B3240" s="2" t="s">
        <v>1054</v>
      </c>
      <c r="C3240" s="5" t="s">
        <v>5095</v>
      </c>
      <c r="D3240" s="2" t="s">
        <v>5096</v>
      </c>
    </row>
    <row r="3241" spans="1:4" ht="13.05" customHeight="1" x14ac:dyDescent="0.3">
      <c r="A3241" s="2" t="s">
        <v>432</v>
      </c>
      <c r="B3241" s="2" t="s">
        <v>1054</v>
      </c>
      <c r="C3241" s="5" t="s">
        <v>5097</v>
      </c>
      <c r="D3241" s="2" t="s">
        <v>5098</v>
      </c>
    </row>
    <row r="3242" spans="1:4" ht="13.05" customHeight="1" x14ac:dyDescent="0.3">
      <c r="A3242" s="2" t="s">
        <v>432</v>
      </c>
      <c r="B3242" s="2" t="s">
        <v>1054</v>
      </c>
      <c r="C3242" s="5" t="s">
        <v>5099</v>
      </c>
      <c r="D3242" s="2" t="s">
        <v>5100</v>
      </c>
    </row>
    <row r="3243" spans="1:4" ht="13.05" customHeight="1" x14ac:dyDescent="0.3">
      <c r="A3243" s="2" t="s">
        <v>432</v>
      </c>
      <c r="B3243" s="2" t="s">
        <v>1054</v>
      </c>
      <c r="C3243" s="5" t="s">
        <v>5101</v>
      </c>
      <c r="D3243" s="2" t="s">
        <v>5102</v>
      </c>
    </row>
    <row r="3244" spans="1:4" ht="13.05" customHeight="1" x14ac:dyDescent="0.3">
      <c r="A3244" s="2" t="s">
        <v>432</v>
      </c>
      <c r="B3244" s="2" t="s">
        <v>1054</v>
      </c>
      <c r="C3244" s="5" t="s">
        <v>5103</v>
      </c>
      <c r="D3244" s="2" t="s">
        <v>5104</v>
      </c>
    </row>
    <row r="3245" spans="1:4" ht="13.05" customHeight="1" x14ac:dyDescent="0.3">
      <c r="A3245" s="2" t="s">
        <v>432</v>
      </c>
      <c r="B3245" s="2" t="s">
        <v>1054</v>
      </c>
      <c r="C3245" s="5" t="s">
        <v>5105</v>
      </c>
      <c r="D3245" s="2" t="s">
        <v>5106</v>
      </c>
    </row>
    <row r="3246" spans="1:4" ht="13.05" customHeight="1" x14ac:dyDescent="0.3">
      <c r="A3246" s="2" t="s">
        <v>432</v>
      </c>
      <c r="B3246" s="2" t="s">
        <v>1054</v>
      </c>
      <c r="C3246" s="5" t="s">
        <v>5107</v>
      </c>
      <c r="D3246" s="2" t="s">
        <v>5108</v>
      </c>
    </row>
    <row r="3247" spans="1:4" ht="13.05" customHeight="1" x14ac:dyDescent="0.3">
      <c r="A3247" s="2" t="s">
        <v>432</v>
      </c>
      <c r="B3247" s="2" t="s">
        <v>1054</v>
      </c>
      <c r="C3247" s="5" t="s">
        <v>5109</v>
      </c>
      <c r="D3247" s="2" t="s">
        <v>3333</v>
      </c>
    </row>
    <row r="3248" spans="1:4" ht="13.05" customHeight="1" x14ac:dyDescent="0.3">
      <c r="A3248" s="2" t="s">
        <v>432</v>
      </c>
      <c r="B3248" s="2" t="s">
        <v>1054</v>
      </c>
      <c r="C3248" s="5" t="s">
        <v>5110</v>
      </c>
      <c r="D3248" s="2" t="s">
        <v>3447</v>
      </c>
    </row>
    <row r="3249" spans="1:4" ht="13.05" customHeight="1" x14ac:dyDescent="0.3">
      <c r="A3249" s="2" t="s">
        <v>432</v>
      </c>
      <c r="B3249" s="2" t="s">
        <v>1054</v>
      </c>
      <c r="C3249" s="5" t="s">
        <v>5111</v>
      </c>
      <c r="D3249" s="2" t="s">
        <v>5112</v>
      </c>
    </row>
    <row r="3250" spans="1:4" ht="13.05" customHeight="1" x14ac:dyDescent="0.3">
      <c r="A3250" s="2" t="s">
        <v>432</v>
      </c>
      <c r="B3250" s="2" t="s">
        <v>1054</v>
      </c>
      <c r="C3250" s="5" t="s">
        <v>5113</v>
      </c>
      <c r="D3250" s="2" t="s">
        <v>5114</v>
      </c>
    </row>
    <row r="3251" spans="1:4" ht="13.05" customHeight="1" x14ac:dyDescent="0.3">
      <c r="A3251" s="2" t="s">
        <v>432</v>
      </c>
      <c r="B3251" s="2" t="s">
        <v>1054</v>
      </c>
      <c r="C3251" s="5" t="s">
        <v>5115</v>
      </c>
      <c r="D3251" s="2" t="s">
        <v>5116</v>
      </c>
    </row>
    <row r="3252" spans="1:4" ht="13.05" customHeight="1" x14ac:dyDescent="0.3">
      <c r="A3252" s="2" t="s">
        <v>432</v>
      </c>
      <c r="B3252" s="2" t="s">
        <v>1054</v>
      </c>
      <c r="C3252" s="5" t="s">
        <v>5117</v>
      </c>
      <c r="D3252" s="2" t="s">
        <v>5118</v>
      </c>
    </row>
    <row r="3253" spans="1:4" ht="13.05" customHeight="1" x14ac:dyDescent="0.3">
      <c r="A3253" s="2" t="s">
        <v>432</v>
      </c>
      <c r="B3253" s="2" t="s">
        <v>1054</v>
      </c>
      <c r="C3253" s="5" t="s">
        <v>5119</v>
      </c>
      <c r="D3253" s="2" t="s">
        <v>5120</v>
      </c>
    </row>
    <row r="3254" spans="1:4" ht="13.05" customHeight="1" x14ac:dyDescent="0.3">
      <c r="A3254" s="2" t="s">
        <v>432</v>
      </c>
      <c r="B3254" s="2" t="s">
        <v>1054</v>
      </c>
      <c r="C3254" s="5" t="s">
        <v>5121</v>
      </c>
      <c r="D3254" s="2" t="s">
        <v>5122</v>
      </c>
    </row>
    <row r="3255" spans="1:4" ht="13.05" customHeight="1" x14ac:dyDescent="0.3">
      <c r="A3255" s="2" t="s">
        <v>432</v>
      </c>
      <c r="B3255" s="2" t="s">
        <v>1054</v>
      </c>
      <c r="C3255" s="5" t="s">
        <v>5123</v>
      </c>
      <c r="D3255" s="2" t="s">
        <v>5124</v>
      </c>
    </row>
    <row r="3256" spans="1:4" ht="13.05" customHeight="1" x14ac:dyDescent="0.3">
      <c r="A3256" s="2" t="s">
        <v>432</v>
      </c>
      <c r="B3256" s="2" t="s">
        <v>1054</v>
      </c>
      <c r="C3256" s="5" t="s">
        <v>5125</v>
      </c>
      <c r="D3256" s="2" t="s">
        <v>5126</v>
      </c>
    </row>
    <row r="3257" spans="1:4" ht="13.05" customHeight="1" x14ac:dyDescent="0.3">
      <c r="A3257" s="2" t="s">
        <v>432</v>
      </c>
      <c r="B3257" s="2" t="s">
        <v>1054</v>
      </c>
      <c r="C3257" s="5" t="s">
        <v>5127</v>
      </c>
      <c r="D3257" s="2" t="s">
        <v>5128</v>
      </c>
    </row>
    <row r="3258" spans="1:4" ht="13.05" customHeight="1" x14ac:dyDescent="0.3">
      <c r="A3258" s="2" t="s">
        <v>432</v>
      </c>
      <c r="B3258" s="2" t="s">
        <v>1054</v>
      </c>
      <c r="C3258" s="5" t="s">
        <v>5129</v>
      </c>
      <c r="D3258" s="2" t="s">
        <v>5130</v>
      </c>
    </row>
    <row r="3259" spans="1:4" ht="13.05" customHeight="1" x14ac:dyDescent="0.3">
      <c r="A3259" s="2" t="s">
        <v>432</v>
      </c>
      <c r="B3259" s="2" t="s">
        <v>1054</v>
      </c>
      <c r="C3259" s="5" t="s">
        <v>5131</v>
      </c>
      <c r="D3259" s="2" t="s">
        <v>5132</v>
      </c>
    </row>
    <row r="3260" spans="1:4" ht="13.05" customHeight="1" x14ac:dyDescent="0.3">
      <c r="A3260" s="2" t="s">
        <v>432</v>
      </c>
      <c r="B3260" s="2" t="s">
        <v>1054</v>
      </c>
      <c r="C3260" s="5" t="s">
        <v>5133</v>
      </c>
      <c r="D3260" s="2" t="s">
        <v>5134</v>
      </c>
    </row>
    <row r="3261" spans="1:4" ht="13.05" customHeight="1" x14ac:dyDescent="0.3">
      <c r="A3261" s="2" t="s">
        <v>432</v>
      </c>
      <c r="B3261" s="2" t="s">
        <v>1054</v>
      </c>
      <c r="C3261" s="5" t="s">
        <v>5135</v>
      </c>
      <c r="D3261" s="2" t="s">
        <v>3365</v>
      </c>
    </row>
    <row r="3262" spans="1:4" ht="13.05" customHeight="1" x14ac:dyDescent="0.3">
      <c r="A3262" s="2" t="s">
        <v>432</v>
      </c>
      <c r="B3262" s="2" t="s">
        <v>1054</v>
      </c>
      <c r="C3262" s="5" t="s">
        <v>5136</v>
      </c>
      <c r="D3262" s="2" t="s">
        <v>3367</v>
      </c>
    </row>
    <row r="3263" spans="1:4" ht="13.05" customHeight="1" x14ac:dyDescent="0.3">
      <c r="A3263" s="2" t="s">
        <v>432</v>
      </c>
      <c r="B3263" s="2" t="s">
        <v>1054</v>
      </c>
      <c r="C3263" s="5" t="s">
        <v>5137</v>
      </c>
      <c r="D3263" s="2" t="s">
        <v>5138</v>
      </c>
    </row>
    <row r="3264" spans="1:4" ht="13.05" customHeight="1" x14ac:dyDescent="0.3">
      <c r="A3264" s="2" t="s">
        <v>432</v>
      </c>
      <c r="B3264" s="2" t="s">
        <v>1054</v>
      </c>
      <c r="C3264" s="5" t="s">
        <v>5139</v>
      </c>
      <c r="D3264" s="2" t="s">
        <v>5140</v>
      </c>
    </row>
    <row r="3265" spans="1:4" ht="13.05" customHeight="1" x14ac:dyDescent="0.3">
      <c r="A3265" s="2" t="s">
        <v>432</v>
      </c>
      <c r="B3265" s="2" t="s">
        <v>1054</v>
      </c>
      <c r="C3265" s="5" t="s">
        <v>5141</v>
      </c>
      <c r="D3265" s="2" t="s">
        <v>5142</v>
      </c>
    </row>
    <row r="3266" spans="1:4" ht="13.05" customHeight="1" x14ac:dyDescent="0.3">
      <c r="A3266" s="2" t="s">
        <v>432</v>
      </c>
      <c r="B3266" s="2" t="s">
        <v>1054</v>
      </c>
      <c r="C3266" s="5" t="s">
        <v>5143</v>
      </c>
      <c r="D3266" s="2" t="s">
        <v>5144</v>
      </c>
    </row>
    <row r="3267" spans="1:4" ht="13.05" customHeight="1" x14ac:dyDescent="0.3">
      <c r="A3267" s="2" t="s">
        <v>432</v>
      </c>
      <c r="B3267" s="2" t="s">
        <v>1054</v>
      </c>
      <c r="C3267" s="5" t="s">
        <v>5145</v>
      </c>
      <c r="D3267" s="2" t="s">
        <v>5146</v>
      </c>
    </row>
    <row r="3268" spans="1:4" ht="13.05" customHeight="1" x14ac:dyDescent="0.3">
      <c r="A3268" s="2" t="s">
        <v>432</v>
      </c>
      <c r="B3268" s="2" t="s">
        <v>1054</v>
      </c>
      <c r="C3268" s="5" t="s">
        <v>5147</v>
      </c>
      <c r="D3268" s="2" t="s">
        <v>5148</v>
      </c>
    </row>
    <row r="3269" spans="1:4" ht="13.05" customHeight="1" x14ac:dyDescent="0.3">
      <c r="A3269" s="2" t="s">
        <v>432</v>
      </c>
      <c r="B3269" s="2" t="s">
        <v>1054</v>
      </c>
      <c r="C3269" s="5" t="s">
        <v>5149</v>
      </c>
      <c r="D3269" s="2" t="s">
        <v>5150</v>
      </c>
    </row>
    <row r="3270" spans="1:4" ht="13.05" customHeight="1" x14ac:dyDescent="0.3">
      <c r="A3270" s="2" t="s">
        <v>432</v>
      </c>
      <c r="B3270" s="2" t="s">
        <v>1054</v>
      </c>
      <c r="C3270" s="5" t="s">
        <v>5151</v>
      </c>
      <c r="D3270" s="2" t="s">
        <v>5152</v>
      </c>
    </row>
    <row r="3271" spans="1:4" ht="13.05" customHeight="1" x14ac:dyDescent="0.3">
      <c r="A3271" s="2" t="s">
        <v>432</v>
      </c>
      <c r="B3271" s="2" t="s">
        <v>1054</v>
      </c>
      <c r="C3271" s="5" t="s">
        <v>5153</v>
      </c>
      <c r="D3271" s="2" t="s">
        <v>3333</v>
      </c>
    </row>
    <row r="3272" spans="1:4" ht="13.05" customHeight="1" x14ac:dyDescent="0.3">
      <c r="A3272" s="2" t="s">
        <v>432</v>
      </c>
      <c r="B3272" s="2" t="s">
        <v>1054</v>
      </c>
      <c r="C3272" s="5" t="s">
        <v>5154</v>
      </c>
      <c r="D3272" s="2" t="s">
        <v>3335</v>
      </c>
    </row>
    <row r="3273" spans="1:4" ht="13.05" customHeight="1" x14ac:dyDescent="0.3">
      <c r="A3273" s="2" t="s">
        <v>432</v>
      </c>
      <c r="B3273" s="2" t="s">
        <v>1054</v>
      </c>
      <c r="C3273" s="5" t="s">
        <v>5155</v>
      </c>
      <c r="D3273" s="2" t="s">
        <v>5156</v>
      </c>
    </row>
    <row r="3274" spans="1:4" ht="13.05" customHeight="1" x14ac:dyDescent="0.3">
      <c r="A3274" s="2" t="s">
        <v>432</v>
      </c>
      <c r="B3274" s="2" t="s">
        <v>1054</v>
      </c>
      <c r="C3274" s="5" t="s">
        <v>5157</v>
      </c>
      <c r="D3274" s="2" t="s">
        <v>4938</v>
      </c>
    </row>
    <row r="3275" spans="1:4" ht="13.05" customHeight="1" x14ac:dyDescent="0.3">
      <c r="A3275" s="2" t="s">
        <v>432</v>
      </c>
      <c r="B3275" s="2" t="s">
        <v>1054</v>
      </c>
      <c r="C3275" s="5" t="s">
        <v>5158</v>
      </c>
      <c r="D3275" s="2" t="s">
        <v>4500</v>
      </c>
    </row>
    <row r="3276" spans="1:4" ht="13.05" customHeight="1" x14ac:dyDescent="0.3">
      <c r="A3276" s="2" t="s">
        <v>432</v>
      </c>
      <c r="B3276" s="2" t="s">
        <v>1054</v>
      </c>
      <c r="C3276" s="5" t="s">
        <v>5159</v>
      </c>
      <c r="D3276" s="2" t="s">
        <v>5160</v>
      </c>
    </row>
    <row r="3277" spans="1:4" ht="13.05" customHeight="1" x14ac:dyDescent="0.3">
      <c r="A3277" s="2" t="s">
        <v>432</v>
      </c>
      <c r="B3277" s="2" t="s">
        <v>1054</v>
      </c>
      <c r="C3277" s="5" t="s">
        <v>5161</v>
      </c>
      <c r="D3277" s="2" t="s">
        <v>4502</v>
      </c>
    </row>
    <row r="3278" spans="1:4" ht="13.05" customHeight="1" x14ac:dyDescent="0.3">
      <c r="A3278" s="2" t="s">
        <v>432</v>
      </c>
      <c r="B3278" s="2" t="s">
        <v>1054</v>
      </c>
      <c r="C3278" s="5" t="s">
        <v>5162</v>
      </c>
      <c r="D3278" s="2" t="s">
        <v>5163</v>
      </c>
    </row>
    <row r="3279" spans="1:4" ht="13.05" customHeight="1" x14ac:dyDescent="0.3">
      <c r="A3279" s="2" t="s">
        <v>432</v>
      </c>
      <c r="B3279" s="2" t="s">
        <v>1054</v>
      </c>
      <c r="C3279" s="5" t="s">
        <v>5164</v>
      </c>
      <c r="D3279" s="2" t="s">
        <v>4506</v>
      </c>
    </row>
    <row r="3280" spans="1:4" ht="13.05" customHeight="1" x14ac:dyDescent="0.3">
      <c r="A3280" s="2" t="s">
        <v>432</v>
      </c>
      <c r="B3280" s="2" t="s">
        <v>1054</v>
      </c>
      <c r="C3280" s="5" t="s">
        <v>5165</v>
      </c>
      <c r="D3280" s="2" t="s">
        <v>5166</v>
      </c>
    </row>
    <row r="3281" spans="1:4" ht="13.05" customHeight="1" x14ac:dyDescent="0.3">
      <c r="A3281" s="2" t="s">
        <v>432</v>
      </c>
      <c r="B3281" s="2" t="s">
        <v>1054</v>
      </c>
      <c r="C3281" s="5" t="s">
        <v>5167</v>
      </c>
      <c r="D3281" s="2" t="s">
        <v>5168</v>
      </c>
    </row>
    <row r="3282" spans="1:4" ht="13.05" customHeight="1" x14ac:dyDescent="0.3">
      <c r="A3282" s="2" t="s">
        <v>432</v>
      </c>
      <c r="B3282" s="2" t="s">
        <v>1054</v>
      </c>
      <c r="C3282" s="5" t="s">
        <v>5169</v>
      </c>
      <c r="D3282" s="2" t="s">
        <v>5170</v>
      </c>
    </row>
    <row r="3283" spans="1:4" ht="13.05" customHeight="1" x14ac:dyDescent="0.3">
      <c r="A3283" s="2" t="s">
        <v>432</v>
      </c>
      <c r="B3283" s="2" t="s">
        <v>1054</v>
      </c>
      <c r="C3283" s="5" t="s">
        <v>5171</v>
      </c>
      <c r="D3283" s="2" t="s">
        <v>5172</v>
      </c>
    </row>
    <row r="3284" spans="1:4" ht="13.05" customHeight="1" x14ac:dyDescent="0.3">
      <c r="A3284" s="2" t="s">
        <v>432</v>
      </c>
      <c r="B3284" s="2" t="s">
        <v>1054</v>
      </c>
      <c r="C3284" s="5" t="s">
        <v>5173</v>
      </c>
      <c r="D3284" s="2" t="s">
        <v>5174</v>
      </c>
    </row>
    <row r="3285" spans="1:4" ht="13.05" customHeight="1" x14ac:dyDescent="0.3">
      <c r="A3285" s="2" t="s">
        <v>432</v>
      </c>
      <c r="B3285" s="2" t="s">
        <v>1054</v>
      </c>
      <c r="C3285" s="5" t="s">
        <v>5175</v>
      </c>
      <c r="D3285" s="2" t="s">
        <v>5176</v>
      </c>
    </row>
    <row r="3286" spans="1:4" ht="13.05" customHeight="1" x14ac:dyDescent="0.3">
      <c r="A3286" s="2" t="s">
        <v>432</v>
      </c>
      <c r="B3286" s="2" t="s">
        <v>1054</v>
      </c>
      <c r="C3286" s="5" t="s">
        <v>5177</v>
      </c>
      <c r="D3286" s="2" t="s">
        <v>5178</v>
      </c>
    </row>
    <row r="3287" spans="1:4" ht="13.05" customHeight="1" x14ac:dyDescent="0.3">
      <c r="A3287" s="2" t="s">
        <v>432</v>
      </c>
      <c r="B3287" s="2" t="s">
        <v>1054</v>
      </c>
      <c r="C3287" s="5" t="s">
        <v>5179</v>
      </c>
      <c r="D3287" s="2" t="s">
        <v>4781</v>
      </c>
    </row>
    <row r="3288" spans="1:4" ht="13.05" customHeight="1" x14ac:dyDescent="0.3">
      <c r="A3288" s="2" t="s">
        <v>432</v>
      </c>
      <c r="B3288" s="2" t="s">
        <v>1054</v>
      </c>
      <c r="C3288" s="5" t="s">
        <v>5180</v>
      </c>
      <c r="D3288" s="2" t="s">
        <v>5181</v>
      </c>
    </row>
    <row r="3289" spans="1:4" ht="13.05" customHeight="1" x14ac:dyDescent="0.3">
      <c r="A3289" s="2" t="s">
        <v>432</v>
      </c>
      <c r="B3289" s="2" t="s">
        <v>1054</v>
      </c>
      <c r="C3289" s="5" t="s">
        <v>5182</v>
      </c>
      <c r="D3289" s="2" t="s">
        <v>5183</v>
      </c>
    </row>
    <row r="3290" spans="1:4" ht="13.05" customHeight="1" x14ac:dyDescent="0.3">
      <c r="A3290" s="2" t="s">
        <v>432</v>
      </c>
      <c r="B3290" s="2" t="s">
        <v>1054</v>
      </c>
      <c r="C3290" s="5" t="s">
        <v>5184</v>
      </c>
      <c r="D3290" s="2" t="s">
        <v>5185</v>
      </c>
    </row>
    <row r="3291" spans="1:4" ht="13.05" customHeight="1" x14ac:dyDescent="0.3">
      <c r="A3291" s="2" t="s">
        <v>432</v>
      </c>
      <c r="B3291" s="2" t="s">
        <v>1054</v>
      </c>
      <c r="C3291" s="5" t="s">
        <v>5186</v>
      </c>
      <c r="D3291" s="2" t="s">
        <v>5187</v>
      </c>
    </row>
    <row r="3292" spans="1:4" ht="13.05" customHeight="1" x14ac:dyDescent="0.3">
      <c r="A3292" s="2" t="s">
        <v>432</v>
      </c>
      <c r="B3292" s="2" t="s">
        <v>1054</v>
      </c>
      <c r="C3292" s="5" t="s">
        <v>5188</v>
      </c>
      <c r="D3292" s="2" t="s">
        <v>5189</v>
      </c>
    </row>
    <row r="3293" spans="1:4" ht="13.05" customHeight="1" x14ac:dyDescent="0.3">
      <c r="A3293" s="2" t="s">
        <v>432</v>
      </c>
      <c r="B3293" s="2" t="s">
        <v>1054</v>
      </c>
      <c r="C3293" s="5" t="s">
        <v>5190</v>
      </c>
      <c r="D3293" s="2" t="s">
        <v>5191</v>
      </c>
    </row>
    <row r="3294" spans="1:4" ht="13.05" customHeight="1" x14ac:dyDescent="0.3">
      <c r="A3294" s="2" t="s">
        <v>432</v>
      </c>
      <c r="B3294" s="2" t="s">
        <v>1054</v>
      </c>
      <c r="C3294" s="5" t="s">
        <v>5192</v>
      </c>
      <c r="D3294" s="2" t="s">
        <v>5193</v>
      </c>
    </row>
    <row r="3295" spans="1:4" ht="13.05" customHeight="1" x14ac:dyDescent="0.3">
      <c r="A3295" s="2" t="s">
        <v>432</v>
      </c>
      <c r="B3295" s="2" t="s">
        <v>1054</v>
      </c>
      <c r="C3295" s="5" t="s">
        <v>5194</v>
      </c>
      <c r="D3295" s="2" t="s">
        <v>5195</v>
      </c>
    </row>
    <row r="3296" spans="1:4" ht="13.05" customHeight="1" x14ac:dyDescent="0.3">
      <c r="A3296" s="2" t="s">
        <v>432</v>
      </c>
      <c r="B3296" s="2" t="s">
        <v>1054</v>
      </c>
      <c r="C3296" s="5" t="s">
        <v>5196</v>
      </c>
      <c r="D3296" s="2" t="s">
        <v>5197</v>
      </c>
    </row>
    <row r="3297" spans="1:4" ht="13.05" customHeight="1" x14ac:dyDescent="0.3">
      <c r="A3297" s="2" t="s">
        <v>432</v>
      </c>
      <c r="B3297" s="2" t="s">
        <v>1054</v>
      </c>
      <c r="C3297" s="5" t="s">
        <v>5198</v>
      </c>
      <c r="D3297" s="2" t="s">
        <v>5199</v>
      </c>
    </row>
    <row r="3298" spans="1:4" ht="13.05" customHeight="1" x14ac:dyDescent="0.3">
      <c r="A3298" s="2" t="s">
        <v>432</v>
      </c>
      <c r="B3298" s="2" t="s">
        <v>1054</v>
      </c>
      <c r="C3298" s="5" t="s">
        <v>5200</v>
      </c>
      <c r="D3298" s="2" t="s">
        <v>5201</v>
      </c>
    </row>
    <row r="3299" spans="1:4" ht="13.05" customHeight="1" x14ac:dyDescent="0.3">
      <c r="A3299" s="2" t="s">
        <v>432</v>
      </c>
      <c r="B3299" s="2" t="s">
        <v>1054</v>
      </c>
      <c r="C3299" s="5" t="s">
        <v>5202</v>
      </c>
      <c r="D3299" s="2" t="s">
        <v>5203</v>
      </c>
    </row>
    <row r="3300" spans="1:4" ht="13.05" customHeight="1" x14ac:dyDescent="0.3">
      <c r="A3300" s="2" t="s">
        <v>432</v>
      </c>
      <c r="B3300" s="2" t="s">
        <v>1054</v>
      </c>
      <c r="C3300" s="5" t="s">
        <v>5204</v>
      </c>
      <c r="D3300" s="2" t="s">
        <v>5205</v>
      </c>
    </row>
    <row r="3301" spans="1:4" ht="13.05" customHeight="1" x14ac:dyDescent="0.3">
      <c r="A3301" s="2" t="s">
        <v>432</v>
      </c>
      <c r="B3301" s="2" t="s">
        <v>1054</v>
      </c>
      <c r="C3301" s="5" t="s">
        <v>5206</v>
      </c>
      <c r="D3301" s="2" t="s">
        <v>5207</v>
      </c>
    </row>
    <row r="3302" spans="1:4" ht="13.05" customHeight="1" x14ac:dyDescent="0.3">
      <c r="A3302" s="2" t="s">
        <v>432</v>
      </c>
      <c r="B3302" s="2" t="s">
        <v>1054</v>
      </c>
      <c r="C3302" s="5" t="s">
        <v>5208</v>
      </c>
      <c r="D3302" s="2" t="s">
        <v>5209</v>
      </c>
    </row>
    <row r="3303" spans="1:4" ht="13.05" customHeight="1" x14ac:dyDescent="0.3">
      <c r="A3303" s="2" t="s">
        <v>432</v>
      </c>
      <c r="B3303" s="2" t="s">
        <v>1054</v>
      </c>
      <c r="C3303" s="5" t="s">
        <v>5210</v>
      </c>
      <c r="D3303" s="2" t="s">
        <v>3445</v>
      </c>
    </row>
    <row r="3304" spans="1:4" ht="13.05" customHeight="1" x14ac:dyDescent="0.3">
      <c r="A3304" s="2" t="s">
        <v>432</v>
      </c>
      <c r="B3304" s="2" t="s">
        <v>1054</v>
      </c>
      <c r="C3304" s="5" t="s">
        <v>5211</v>
      </c>
      <c r="D3304" s="2" t="s">
        <v>3447</v>
      </c>
    </row>
    <row r="3305" spans="1:4" ht="13.05" customHeight="1" x14ac:dyDescent="0.3">
      <c r="A3305" s="2" t="s">
        <v>432</v>
      </c>
      <c r="B3305" s="2" t="s">
        <v>1054</v>
      </c>
      <c r="C3305" s="5" t="s">
        <v>5212</v>
      </c>
      <c r="D3305" s="2" t="s">
        <v>5213</v>
      </c>
    </row>
    <row r="3306" spans="1:4" ht="13.05" customHeight="1" x14ac:dyDescent="0.3">
      <c r="A3306" s="2" t="s">
        <v>432</v>
      </c>
      <c r="B3306" s="2" t="s">
        <v>1054</v>
      </c>
      <c r="C3306" s="5" t="s">
        <v>5214</v>
      </c>
      <c r="D3306" s="2" t="s">
        <v>5215</v>
      </c>
    </row>
    <row r="3307" spans="1:4" ht="13.05" customHeight="1" x14ac:dyDescent="0.3">
      <c r="A3307" s="2" t="s">
        <v>432</v>
      </c>
      <c r="B3307" s="2" t="s">
        <v>1054</v>
      </c>
      <c r="C3307" s="5" t="s">
        <v>5216</v>
      </c>
      <c r="D3307" s="2" t="s">
        <v>4258</v>
      </c>
    </row>
    <row r="3308" spans="1:4" ht="13.05" customHeight="1" x14ac:dyDescent="0.3">
      <c r="A3308" s="2" t="s">
        <v>432</v>
      </c>
      <c r="B3308" s="2" t="s">
        <v>1054</v>
      </c>
      <c r="C3308" s="5" t="s">
        <v>5217</v>
      </c>
      <c r="D3308" s="2" t="s">
        <v>3570</v>
      </c>
    </row>
    <row r="3309" spans="1:4" ht="13.05" customHeight="1" x14ac:dyDescent="0.3">
      <c r="A3309" s="2" t="s">
        <v>432</v>
      </c>
      <c r="B3309" s="2" t="s">
        <v>1054</v>
      </c>
      <c r="C3309" s="5" t="s">
        <v>5218</v>
      </c>
      <c r="D3309" s="2" t="s">
        <v>3572</v>
      </c>
    </row>
    <row r="3310" spans="1:4" ht="13.05" customHeight="1" x14ac:dyDescent="0.3">
      <c r="A3310" s="2" t="s">
        <v>432</v>
      </c>
      <c r="B3310" s="2" t="s">
        <v>1054</v>
      </c>
      <c r="C3310" s="5" t="s">
        <v>5219</v>
      </c>
      <c r="D3310" s="2" t="s">
        <v>3574</v>
      </c>
    </row>
    <row r="3311" spans="1:4" ht="13.05" customHeight="1" x14ac:dyDescent="0.3">
      <c r="A3311" s="2" t="s">
        <v>432</v>
      </c>
      <c r="B3311" s="2" t="s">
        <v>1054</v>
      </c>
      <c r="C3311" s="5" t="s">
        <v>5220</v>
      </c>
      <c r="D3311" s="2" t="s">
        <v>3765</v>
      </c>
    </row>
    <row r="3312" spans="1:4" ht="13.05" customHeight="1" x14ac:dyDescent="0.3">
      <c r="A3312" s="2" t="s">
        <v>432</v>
      </c>
      <c r="B3312" s="2" t="s">
        <v>1054</v>
      </c>
      <c r="C3312" s="5" t="s">
        <v>5221</v>
      </c>
      <c r="D3312" s="2" t="s">
        <v>3578</v>
      </c>
    </row>
    <row r="3313" spans="1:4" ht="13.05" customHeight="1" x14ac:dyDescent="0.3">
      <c r="A3313" s="2" t="s">
        <v>432</v>
      </c>
      <c r="B3313" s="2" t="s">
        <v>1054</v>
      </c>
      <c r="C3313" s="5" t="s">
        <v>5222</v>
      </c>
      <c r="D3313" s="2" t="s">
        <v>3393</v>
      </c>
    </row>
    <row r="3314" spans="1:4" ht="13.05" customHeight="1" x14ac:dyDescent="0.3">
      <c r="A3314" s="2" t="s">
        <v>432</v>
      </c>
      <c r="B3314" s="2" t="s">
        <v>1054</v>
      </c>
      <c r="C3314" s="5" t="s">
        <v>5223</v>
      </c>
      <c r="D3314" s="2" t="s">
        <v>3581</v>
      </c>
    </row>
    <row r="3315" spans="1:4" ht="13.05" customHeight="1" x14ac:dyDescent="0.3">
      <c r="A3315" s="2" t="s">
        <v>432</v>
      </c>
      <c r="B3315" s="2" t="s">
        <v>1054</v>
      </c>
      <c r="C3315" s="5" t="s">
        <v>5224</v>
      </c>
      <c r="D3315" s="2" t="s">
        <v>3395</v>
      </c>
    </row>
    <row r="3316" spans="1:4" ht="13.05" customHeight="1" x14ac:dyDescent="0.3">
      <c r="A3316" s="2" t="s">
        <v>432</v>
      </c>
      <c r="B3316" s="2" t="s">
        <v>1054</v>
      </c>
      <c r="C3316" s="5" t="s">
        <v>5225</v>
      </c>
      <c r="D3316" s="2" t="s">
        <v>3770</v>
      </c>
    </row>
    <row r="3317" spans="1:4" ht="13.05" customHeight="1" x14ac:dyDescent="0.3">
      <c r="A3317" s="2" t="s">
        <v>432</v>
      </c>
      <c r="B3317" s="2" t="s">
        <v>1054</v>
      </c>
      <c r="C3317" s="5" t="s">
        <v>5226</v>
      </c>
      <c r="D3317" s="2" t="s">
        <v>4729</v>
      </c>
    </row>
    <row r="3318" spans="1:4" ht="13.05" customHeight="1" x14ac:dyDescent="0.3">
      <c r="A3318" s="2" t="s">
        <v>432</v>
      </c>
      <c r="B3318" s="2" t="s">
        <v>1054</v>
      </c>
      <c r="C3318" s="5" t="s">
        <v>5227</v>
      </c>
      <c r="D3318" s="2" t="s">
        <v>5228</v>
      </c>
    </row>
    <row r="3319" spans="1:4" ht="13.05" customHeight="1" x14ac:dyDescent="0.3">
      <c r="A3319" s="2" t="s">
        <v>432</v>
      </c>
      <c r="B3319" s="2" t="s">
        <v>1054</v>
      </c>
      <c r="C3319" s="5" t="s">
        <v>5229</v>
      </c>
      <c r="D3319" s="2" t="s">
        <v>5230</v>
      </c>
    </row>
    <row r="3320" spans="1:4" ht="13.05" customHeight="1" x14ac:dyDescent="0.3">
      <c r="A3320" s="2" t="s">
        <v>432</v>
      </c>
      <c r="B3320" s="2" t="s">
        <v>1054</v>
      </c>
      <c r="C3320" s="5" t="s">
        <v>5231</v>
      </c>
      <c r="D3320" s="2" t="s">
        <v>5232</v>
      </c>
    </row>
    <row r="3321" spans="1:4" ht="13.05" customHeight="1" x14ac:dyDescent="0.3">
      <c r="A3321" s="2" t="s">
        <v>432</v>
      </c>
      <c r="B3321" s="2" t="s">
        <v>1054</v>
      </c>
      <c r="C3321" s="5" t="s">
        <v>5233</v>
      </c>
      <c r="D3321" s="2" t="s">
        <v>5234</v>
      </c>
    </row>
    <row r="3322" spans="1:4" ht="13.05" customHeight="1" x14ac:dyDescent="0.3">
      <c r="A3322" s="2" t="s">
        <v>432</v>
      </c>
      <c r="B3322" s="2" t="s">
        <v>1054</v>
      </c>
      <c r="C3322" s="5" t="s">
        <v>5235</v>
      </c>
      <c r="D3322" s="2" t="s">
        <v>5236</v>
      </c>
    </row>
    <row r="3323" spans="1:4" ht="13.05" customHeight="1" x14ac:dyDescent="0.3">
      <c r="A3323" s="2" t="s">
        <v>432</v>
      </c>
      <c r="B3323" s="2" t="s">
        <v>1054</v>
      </c>
      <c r="C3323" s="5" t="s">
        <v>5237</v>
      </c>
      <c r="D3323" s="2" t="s">
        <v>5238</v>
      </c>
    </row>
    <row r="3324" spans="1:4" ht="13.05" customHeight="1" x14ac:dyDescent="0.3">
      <c r="A3324" s="2" t="s">
        <v>432</v>
      </c>
      <c r="B3324" s="2" t="s">
        <v>1054</v>
      </c>
      <c r="C3324" s="5" t="s">
        <v>5239</v>
      </c>
      <c r="D3324" s="2" t="s">
        <v>5240</v>
      </c>
    </row>
    <row r="3325" spans="1:4" ht="13.05" customHeight="1" x14ac:dyDescent="0.3">
      <c r="A3325" s="2" t="s">
        <v>432</v>
      </c>
      <c r="B3325" s="2" t="s">
        <v>1054</v>
      </c>
      <c r="C3325" s="5" t="s">
        <v>5241</v>
      </c>
      <c r="D3325" s="2" t="s">
        <v>5242</v>
      </c>
    </row>
    <row r="3326" spans="1:4" ht="13.05" customHeight="1" x14ac:dyDescent="0.3">
      <c r="A3326" s="2" t="s">
        <v>432</v>
      </c>
      <c r="B3326" s="2" t="s">
        <v>1054</v>
      </c>
      <c r="C3326" s="5" t="s">
        <v>5243</v>
      </c>
      <c r="D3326" s="2" t="s">
        <v>5244</v>
      </c>
    </row>
    <row r="3327" spans="1:4" ht="13.05" customHeight="1" x14ac:dyDescent="0.3">
      <c r="A3327" s="2" t="s">
        <v>432</v>
      </c>
      <c r="B3327" s="2" t="s">
        <v>1054</v>
      </c>
      <c r="C3327" s="5" t="s">
        <v>5245</v>
      </c>
      <c r="D3327" s="2" t="s">
        <v>5246</v>
      </c>
    </row>
    <row r="3328" spans="1:4" ht="13.05" customHeight="1" x14ac:dyDescent="0.3">
      <c r="A3328" s="2" t="s">
        <v>432</v>
      </c>
      <c r="B3328" s="2" t="s">
        <v>1054</v>
      </c>
      <c r="C3328" s="5" t="s">
        <v>5247</v>
      </c>
      <c r="D3328" s="2" t="s">
        <v>5248</v>
      </c>
    </row>
    <row r="3329" spans="1:4" ht="13.05" customHeight="1" x14ac:dyDescent="0.3">
      <c r="A3329" s="2" t="s">
        <v>432</v>
      </c>
      <c r="B3329" s="2" t="s">
        <v>1054</v>
      </c>
      <c r="C3329" s="5" t="s">
        <v>5249</v>
      </c>
      <c r="D3329" s="2" t="s">
        <v>5250</v>
      </c>
    </row>
    <row r="3330" spans="1:4" ht="13.05" customHeight="1" x14ac:dyDescent="0.3">
      <c r="A3330" s="2" t="s">
        <v>432</v>
      </c>
      <c r="B3330" s="2" t="s">
        <v>1054</v>
      </c>
      <c r="C3330" s="5" t="s">
        <v>5251</v>
      </c>
      <c r="D3330" s="2" t="s">
        <v>5252</v>
      </c>
    </row>
    <row r="3331" spans="1:4" ht="13.05" customHeight="1" x14ac:dyDescent="0.3">
      <c r="A3331" s="2" t="s">
        <v>432</v>
      </c>
      <c r="B3331" s="2" t="s">
        <v>1054</v>
      </c>
      <c r="C3331" s="5" t="s">
        <v>5253</v>
      </c>
      <c r="D3331" s="2" t="s">
        <v>5254</v>
      </c>
    </row>
    <row r="3332" spans="1:4" ht="13.05" customHeight="1" x14ac:dyDescent="0.3">
      <c r="A3332" s="2" t="s">
        <v>432</v>
      </c>
      <c r="B3332" s="2" t="s">
        <v>1054</v>
      </c>
      <c r="C3332" s="5" t="s">
        <v>5255</v>
      </c>
      <c r="D3332" s="2" t="s">
        <v>5256</v>
      </c>
    </row>
    <row r="3333" spans="1:4" ht="13.05" customHeight="1" x14ac:dyDescent="0.3">
      <c r="A3333" s="2" t="s">
        <v>432</v>
      </c>
      <c r="B3333" s="2" t="s">
        <v>1054</v>
      </c>
      <c r="C3333" s="5" t="s">
        <v>5257</v>
      </c>
      <c r="D3333" s="2" t="s">
        <v>5258</v>
      </c>
    </row>
    <row r="3334" spans="1:4" ht="13.05" customHeight="1" x14ac:dyDescent="0.3">
      <c r="A3334" s="2" t="s">
        <v>432</v>
      </c>
      <c r="B3334" s="2" t="s">
        <v>1054</v>
      </c>
      <c r="C3334" s="5" t="s">
        <v>5259</v>
      </c>
      <c r="D3334" s="2" t="s">
        <v>5260</v>
      </c>
    </row>
    <row r="3335" spans="1:4" ht="13.05" customHeight="1" x14ac:dyDescent="0.3">
      <c r="A3335" s="2" t="s">
        <v>432</v>
      </c>
      <c r="B3335" s="2" t="s">
        <v>1054</v>
      </c>
      <c r="C3335" s="5" t="s">
        <v>5261</v>
      </c>
      <c r="D3335" s="2" t="s">
        <v>3333</v>
      </c>
    </row>
    <row r="3336" spans="1:4" ht="13.05" customHeight="1" x14ac:dyDescent="0.3">
      <c r="A3336" s="2" t="s">
        <v>432</v>
      </c>
      <c r="B3336" s="2" t="s">
        <v>1054</v>
      </c>
      <c r="C3336" s="5" t="s">
        <v>5262</v>
      </c>
      <c r="D3336" s="2" t="s">
        <v>3447</v>
      </c>
    </row>
    <row r="3337" spans="1:4" ht="13.05" customHeight="1" x14ac:dyDescent="0.3">
      <c r="A3337" s="2" t="s">
        <v>432</v>
      </c>
      <c r="B3337" s="2" t="s">
        <v>1054</v>
      </c>
      <c r="C3337" s="5" t="s">
        <v>5263</v>
      </c>
      <c r="D3337" s="2" t="s">
        <v>5264</v>
      </c>
    </row>
    <row r="3338" spans="1:4" ht="13.05" customHeight="1" x14ac:dyDescent="0.3">
      <c r="A3338" s="2" t="s">
        <v>432</v>
      </c>
      <c r="B3338" s="2" t="s">
        <v>1054</v>
      </c>
      <c r="C3338" s="5" t="s">
        <v>5265</v>
      </c>
      <c r="D3338" s="2" t="s">
        <v>5266</v>
      </c>
    </row>
    <row r="3339" spans="1:4" ht="13.05" customHeight="1" x14ac:dyDescent="0.3">
      <c r="A3339" s="2" t="s">
        <v>432</v>
      </c>
      <c r="B3339" s="2" t="s">
        <v>1054</v>
      </c>
      <c r="C3339" s="5" t="s">
        <v>5267</v>
      </c>
      <c r="D3339" s="2" t="s">
        <v>5268</v>
      </c>
    </row>
    <row r="3340" spans="1:4" ht="13.05" customHeight="1" x14ac:dyDescent="0.3">
      <c r="A3340" s="2" t="s">
        <v>432</v>
      </c>
      <c r="B3340" s="2" t="s">
        <v>1054</v>
      </c>
      <c r="C3340" s="5" t="s">
        <v>5269</v>
      </c>
      <c r="D3340" s="2" t="s">
        <v>5128</v>
      </c>
    </row>
    <row r="3341" spans="1:4" ht="13.05" customHeight="1" x14ac:dyDescent="0.3">
      <c r="A3341" s="2" t="s">
        <v>432</v>
      </c>
      <c r="B3341" s="2" t="s">
        <v>1054</v>
      </c>
      <c r="C3341" s="5" t="s">
        <v>5270</v>
      </c>
      <c r="D3341" s="2" t="s">
        <v>5271</v>
      </c>
    </row>
    <row r="3342" spans="1:4" ht="13.05" customHeight="1" x14ac:dyDescent="0.3">
      <c r="A3342" s="2" t="s">
        <v>432</v>
      </c>
      <c r="B3342" s="2" t="s">
        <v>1054</v>
      </c>
      <c r="C3342" s="5" t="s">
        <v>5272</v>
      </c>
      <c r="D3342" s="2" t="s">
        <v>3365</v>
      </c>
    </row>
    <row r="3343" spans="1:4" ht="13.05" customHeight="1" x14ac:dyDescent="0.3">
      <c r="A3343" s="2" t="s">
        <v>432</v>
      </c>
      <c r="B3343" s="2" t="s">
        <v>1054</v>
      </c>
      <c r="C3343" s="5" t="s">
        <v>5273</v>
      </c>
      <c r="D3343" s="2" t="s">
        <v>3367</v>
      </c>
    </row>
    <row r="3344" spans="1:4" ht="13.05" customHeight="1" x14ac:dyDescent="0.3">
      <c r="A3344" s="2" t="s">
        <v>432</v>
      </c>
      <c r="B3344" s="2" t="s">
        <v>1054</v>
      </c>
      <c r="C3344" s="5" t="s">
        <v>5274</v>
      </c>
      <c r="D3344" s="2" t="s">
        <v>3572</v>
      </c>
    </row>
    <row r="3345" spans="1:4" ht="13.05" customHeight="1" x14ac:dyDescent="0.3">
      <c r="A3345" s="2" t="s">
        <v>432</v>
      </c>
      <c r="B3345" s="2" t="s">
        <v>1054</v>
      </c>
      <c r="C3345" s="5" t="s">
        <v>5275</v>
      </c>
      <c r="D3345" s="2" t="s">
        <v>3393</v>
      </c>
    </row>
    <row r="3346" spans="1:4" ht="13.05" customHeight="1" x14ac:dyDescent="0.3">
      <c r="A3346" s="2" t="s">
        <v>432</v>
      </c>
      <c r="B3346" s="2" t="s">
        <v>1054</v>
      </c>
      <c r="C3346" s="5" t="s">
        <v>5276</v>
      </c>
      <c r="D3346" s="2" t="s">
        <v>3581</v>
      </c>
    </row>
    <row r="3347" spans="1:4" ht="13.05" customHeight="1" x14ac:dyDescent="0.3">
      <c r="A3347" s="2" t="s">
        <v>432</v>
      </c>
      <c r="B3347" s="2" t="s">
        <v>1054</v>
      </c>
      <c r="C3347" s="5" t="s">
        <v>5277</v>
      </c>
      <c r="D3347" s="2" t="s">
        <v>4724</v>
      </c>
    </row>
    <row r="3348" spans="1:4" ht="13.05" customHeight="1" x14ac:dyDescent="0.3">
      <c r="A3348" s="2" t="s">
        <v>432</v>
      </c>
      <c r="B3348" s="2" t="s">
        <v>1054</v>
      </c>
      <c r="C3348" s="5" t="s">
        <v>5278</v>
      </c>
      <c r="D3348" s="2" t="s">
        <v>3395</v>
      </c>
    </row>
    <row r="3349" spans="1:4" ht="13.05" customHeight="1" x14ac:dyDescent="0.3">
      <c r="A3349" s="2" t="s">
        <v>432</v>
      </c>
      <c r="B3349" s="2" t="s">
        <v>1054</v>
      </c>
      <c r="C3349" s="5" t="s">
        <v>5279</v>
      </c>
      <c r="D3349" s="2" t="s">
        <v>3770</v>
      </c>
    </row>
    <row r="3350" spans="1:4" ht="13.05" customHeight="1" x14ac:dyDescent="0.3">
      <c r="A3350" s="2" t="s">
        <v>432</v>
      </c>
      <c r="B3350" s="2" t="s">
        <v>1054</v>
      </c>
      <c r="C3350" s="5" t="s">
        <v>5280</v>
      </c>
      <c r="D3350" s="2" t="s">
        <v>4729</v>
      </c>
    </row>
    <row r="3351" spans="1:4" ht="13.05" customHeight="1" x14ac:dyDescent="0.3">
      <c r="A3351" s="2" t="s">
        <v>432</v>
      </c>
      <c r="B3351" s="2" t="s">
        <v>1054</v>
      </c>
      <c r="C3351" s="5" t="s">
        <v>5281</v>
      </c>
      <c r="D3351" s="2" t="s">
        <v>5282</v>
      </c>
    </row>
    <row r="3352" spans="1:4" ht="13.05" customHeight="1" x14ac:dyDescent="0.3">
      <c r="A3352" s="2" t="s">
        <v>432</v>
      </c>
      <c r="B3352" s="2" t="s">
        <v>1054</v>
      </c>
      <c r="C3352" s="5" t="s">
        <v>5283</v>
      </c>
      <c r="D3352" s="2" t="s">
        <v>5284</v>
      </c>
    </row>
    <row r="3353" spans="1:4" ht="13.05" customHeight="1" x14ac:dyDescent="0.3">
      <c r="A3353" s="2" t="s">
        <v>432</v>
      </c>
      <c r="B3353" s="2" t="s">
        <v>1054</v>
      </c>
      <c r="C3353" s="5" t="s">
        <v>5285</v>
      </c>
      <c r="D3353" s="2" t="s">
        <v>5286</v>
      </c>
    </row>
    <row r="3354" spans="1:4" ht="13.05" customHeight="1" x14ac:dyDescent="0.3">
      <c r="A3354" s="2" t="s">
        <v>432</v>
      </c>
      <c r="B3354" s="2" t="s">
        <v>1054</v>
      </c>
      <c r="C3354" s="5" t="s">
        <v>5287</v>
      </c>
      <c r="D3354" s="2" t="s">
        <v>5288</v>
      </c>
    </row>
    <row r="3355" spans="1:4" ht="13.05" customHeight="1" x14ac:dyDescent="0.3">
      <c r="A3355" s="2" t="s">
        <v>432</v>
      </c>
      <c r="B3355" s="2" t="s">
        <v>1054</v>
      </c>
      <c r="C3355" s="5" t="s">
        <v>5289</v>
      </c>
      <c r="D3355" s="2" t="s">
        <v>5290</v>
      </c>
    </row>
    <row r="3356" spans="1:4" ht="13.05" customHeight="1" x14ac:dyDescent="0.3">
      <c r="A3356" s="2" t="s">
        <v>432</v>
      </c>
      <c r="B3356" s="2" t="s">
        <v>1054</v>
      </c>
      <c r="C3356" s="5" t="s">
        <v>5291</v>
      </c>
      <c r="D3356" s="2" t="s">
        <v>5292</v>
      </c>
    </row>
    <row r="3357" spans="1:4" ht="13.05" customHeight="1" x14ac:dyDescent="0.3">
      <c r="A3357" s="2" t="s">
        <v>432</v>
      </c>
      <c r="B3357" s="2" t="s">
        <v>1054</v>
      </c>
      <c r="C3357" s="5" t="s">
        <v>5293</v>
      </c>
      <c r="D3357" s="2" t="s">
        <v>5294</v>
      </c>
    </row>
    <row r="3358" spans="1:4" ht="13.05" customHeight="1" x14ac:dyDescent="0.3">
      <c r="A3358" s="2" t="s">
        <v>432</v>
      </c>
      <c r="B3358" s="2" t="s">
        <v>1054</v>
      </c>
      <c r="C3358" s="5" t="s">
        <v>5295</v>
      </c>
      <c r="D3358" s="2" t="s">
        <v>5296</v>
      </c>
    </row>
    <row r="3359" spans="1:4" ht="13.05" customHeight="1" x14ac:dyDescent="0.3">
      <c r="A3359" s="2" t="s">
        <v>432</v>
      </c>
      <c r="B3359" s="2" t="s">
        <v>1054</v>
      </c>
      <c r="C3359" s="5" t="s">
        <v>5297</v>
      </c>
      <c r="D3359" s="2" t="s">
        <v>5298</v>
      </c>
    </row>
    <row r="3360" spans="1:4" ht="13.05" customHeight="1" x14ac:dyDescent="0.3">
      <c r="A3360" s="2" t="s">
        <v>432</v>
      </c>
      <c r="B3360" s="2" t="s">
        <v>1054</v>
      </c>
      <c r="C3360" s="5" t="s">
        <v>5299</v>
      </c>
      <c r="D3360" s="2" t="s">
        <v>3445</v>
      </c>
    </row>
    <row r="3361" spans="1:4" ht="13.05" customHeight="1" x14ac:dyDescent="0.3">
      <c r="A3361" s="2" t="s">
        <v>432</v>
      </c>
      <c r="B3361" s="2" t="s">
        <v>1054</v>
      </c>
      <c r="C3361" s="5" t="s">
        <v>5300</v>
      </c>
      <c r="D3361" s="2" t="s">
        <v>3447</v>
      </c>
    </row>
    <row r="3362" spans="1:4" ht="13.05" customHeight="1" x14ac:dyDescent="0.3">
      <c r="A3362" s="2" t="s">
        <v>432</v>
      </c>
      <c r="B3362" s="2" t="s">
        <v>1054</v>
      </c>
      <c r="C3362" s="5" t="s">
        <v>5301</v>
      </c>
      <c r="D3362" s="2" t="s">
        <v>5302</v>
      </c>
    </row>
    <row r="3363" spans="1:4" ht="13.05" customHeight="1" x14ac:dyDescent="0.3">
      <c r="A3363" s="2" t="s">
        <v>432</v>
      </c>
      <c r="B3363" s="2" t="s">
        <v>1054</v>
      </c>
      <c r="C3363" s="5" t="s">
        <v>5303</v>
      </c>
      <c r="D3363" s="2" t="s">
        <v>5304</v>
      </c>
    </row>
    <row r="3364" spans="1:4" ht="13.05" customHeight="1" x14ac:dyDescent="0.3">
      <c r="A3364" s="2" t="s">
        <v>432</v>
      </c>
      <c r="B3364" s="2" t="s">
        <v>1054</v>
      </c>
      <c r="C3364" s="5" t="s">
        <v>5305</v>
      </c>
      <c r="D3364" s="2" t="s">
        <v>5306</v>
      </c>
    </row>
    <row r="3365" spans="1:4" ht="13.05" customHeight="1" x14ac:dyDescent="0.3">
      <c r="A3365" s="2" t="s">
        <v>432</v>
      </c>
      <c r="B3365" s="2" t="s">
        <v>1054</v>
      </c>
      <c r="C3365" s="5" t="s">
        <v>5307</v>
      </c>
      <c r="D3365" s="2" t="s">
        <v>5308</v>
      </c>
    </row>
    <row r="3366" spans="1:4" ht="13.05" customHeight="1" x14ac:dyDescent="0.3">
      <c r="A3366" s="2" t="s">
        <v>432</v>
      </c>
      <c r="B3366" s="2" t="s">
        <v>1054</v>
      </c>
      <c r="C3366" s="5" t="s">
        <v>5309</v>
      </c>
      <c r="D3366" s="2" t="s">
        <v>5310</v>
      </c>
    </row>
    <row r="3367" spans="1:4" ht="13.05" customHeight="1" x14ac:dyDescent="0.3">
      <c r="A3367" s="2" t="s">
        <v>432</v>
      </c>
      <c r="B3367" s="2" t="s">
        <v>1054</v>
      </c>
      <c r="C3367" s="5" t="s">
        <v>5311</v>
      </c>
      <c r="D3367" s="2" t="s">
        <v>5312</v>
      </c>
    </row>
    <row r="3368" spans="1:4" ht="13.05" customHeight="1" x14ac:dyDescent="0.3">
      <c r="A3368" s="2" t="s">
        <v>432</v>
      </c>
      <c r="B3368" s="2" t="s">
        <v>1054</v>
      </c>
      <c r="C3368" s="5" t="s">
        <v>5313</v>
      </c>
      <c r="D3368" s="2" t="s">
        <v>5314</v>
      </c>
    </row>
    <row r="3369" spans="1:4" ht="13.05" customHeight="1" x14ac:dyDescent="0.3">
      <c r="A3369" s="2" t="s">
        <v>432</v>
      </c>
      <c r="B3369" s="2" t="s">
        <v>1054</v>
      </c>
      <c r="C3369" s="5" t="s">
        <v>5315</v>
      </c>
      <c r="D3369" s="2" t="s">
        <v>3389</v>
      </c>
    </row>
    <row r="3370" spans="1:4" ht="13.05" customHeight="1" x14ac:dyDescent="0.3">
      <c r="A3370" s="2" t="s">
        <v>432</v>
      </c>
      <c r="B3370" s="2" t="s">
        <v>1054</v>
      </c>
      <c r="C3370" s="5" t="s">
        <v>5316</v>
      </c>
      <c r="D3370" s="2" t="s">
        <v>5317</v>
      </c>
    </row>
    <row r="3371" spans="1:4" ht="13.05" customHeight="1" x14ac:dyDescent="0.3">
      <c r="A3371" s="2" t="s">
        <v>432</v>
      </c>
      <c r="B3371" s="2" t="s">
        <v>1054</v>
      </c>
      <c r="C3371" s="5" t="s">
        <v>5318</v>
      </c>
      <c r="D3371" s="2" t="s">
        <v>5319</v>
      </c>
    </row>
    <row r="3372" spans="1:4" ht="13.05" customHeight="1" x14ac:dyDescent="0.3">
      <c r="A3372" s="2" t="s">
        <v>432</v>
      </c>
      <c r="B3372" s="2" t="s">
        <v>1054</v>
      </c>
      <c r="C3372" s="5" t="s">
        <v>5320</v>
      </c>
      <c r="D3372" s="2" t="s">
        <v>5321</v>
      </c>
    </row>
    <row r="3373" spans="1:4" ht="13.05" customHeight="1" x14ac:dyDescent="0.3">
      <c r="A3373" s="2" t="s">
        <v>432</v>
      </c>
      <c r="B3373" s="2" t="s">
        <v>1054</v>
      </c>
      <c r="C3373" s="5" t="s">
        <v>5322</v>
      </c>
      <c r="D3373" s="2" t="s">
        <v>5323</v>
      </c>
    </row>
    <row r="3374" spans="1:4" ht="13.05" customHeight="1" x14ac:dyDescent="0.3">
      <c r="A3374" s="2" t="s">
        <v>432</v>
      </c>
      <c r="B3374" s="2" t="s">
        <v>1054</v>
      </c>
      <c r="C3374" s="5" t="s">
        <v>5324</v>
      </c>
      <c r="D3374" s="2" t="s">
        <v>5325</v>
      </c>
    </row>
    <row r="3375" spans="1:4" ht="13.05" customHeight="1" x14ac:dyDescent="0.3">
      <c r="A3375" s="2" t="s">
        <v>432</v>
      </c>
      <c r="B3375" s="2" t="s">
        <v>1054</v>
      </c>
      <c r="C3375" s="5" t="s">
        <v>5326</v>
      </c>
      <c r="D3375" s="2" t="s">
        <v>5327</v>
      </c>
    </row>
    <row r="3376" spans="1:4" ht="13.05" customHeight="1" x14ac:dyDescent="0.3">
      <c r="A3376" s="2" t="s">
        <v>432</v>
      </c>
      <c r="B3376" s="2" t="s">
        <v>1054</v>
      </c>
      <c r="C3376" s="5" t="s">
        <v>5328</v>
      </c>
      <c r="D3376" s="2" t="s">
        <v>5329</v>
      </c>
    </row>
    <row r="3377" spans="1:4" ht="13.05" customHeight="1" x14ac:dyDescent="0.3">
      <c r="A3377" s="2" t="s">
        <v>432</v>
      </c>
      <c r="B3377" s="2" t="s">
        <v>1054</v>
      </c>
      <c r="C3377" s="5" t="s">
        <v>5330</v>
      </c>
      <c r="D3377" s="2" t="s">
        <v>5331</v>
      </c>
    </row>
    <row r="3378" spans="1:4" ht="13.05" customHeight="1" x14ac:dyDescent="0.3">
      <c r="A3378" s="2" t="s">
        <v>432</v>
      </c>
      <c r="B3378" s="2" t="s">
        <v>1054</v>
      </c>
      <c r="C3378" s="5" t="s">
        <v>5332</v>
      </c>
      <c r="D3378" s="2" t="s">
        <v>4674</v>
      </c>
    </row>
    <row r="3379" spans="1:4" ht="13.05" customHeight="1" x14ac:dyDescent="0.3">
      <c r="A3379" s="2" t="s">
        <v>432</v>
      </c>
      <c r="B3379" s="2" t="s">
        <v>1054</v>
      </c>
      <c r="C3379" s="5" t="s">
        <v>5333</v>
      </c>
      <c r="D3379" s="2" t="s">
        <v>4676</v>
      </c>
    </row>
    <row r="3380" spans="1:4" ht="13.05" customHeight="1" x14ac:dyDescent="0.3">
      <c r="A3380" s="2" t="s">
        <v>432</v>
      </c>
      <c r="B3380" s="2" t="s">
        <v>1054</v>
      </c>
      <c r="C3380" s="5" t="s">
        <v>5334</v>
      </c>
      <c r="D3380" s="2" t="s">
        <v>4678</v>
      </c>
    </row>
    <row r="3381" spans="1:4" ht="13.05" customHeight="1" x14ac:dyDescent="0.3">
      <c r="A3381" s="2" t="s">
        <v>432</v>
      </c>
      <c r="B3381" s="2" t="s">
        <v>1054</v>
      </c>
      <c r="C3381" s="5" t="s">
        <v>5335</v>
      </c>
      <c r="D3381" s="2" t="s">
        <v>4940</v>
      </c>
    </row>
    <row r="3382" spans="1:4" ht="13.05" customHeight="1" x14ac:dyDescent="0.3">
      <c r="A3382" s="2" t="s">
        <v>432</v>
      </c>
      <c r="B3382" s="2" t="s">
        <v>1054</v>
      </c>
      <c r="C3382" s="5" t="s">
        <v>5336</v>
      </c>
      <c r="D3382" s="2" t="s">
        <v>5337</v>
      </c>
    </row>
    <row r="3383" spans="1:4" ht="13.05" customHeight="1" x14ac:dyDescent="0.3">
      <c r="A3383" s="2" t="s">
        <v>432</v>
      </c>
      <c r="B3383" s="2" t="s">
        <v>1054</v>
      </c>
      <c r="C3383" s="5" t="s">
        <v>5338</v>
      </c>
      <c r="D3383" s="2" t="s">
        <v>5339</v>
      </c>
    </row>
    <row r="3384" spans="1:4" ht="13.05" customHeight="1" x14ac:dyDescent="0.3">
      <c r="A3384" s="2" t="s">
        <v>432</v>
      </c>
      <c r="B3384" s="2" t="s">
        <v>1054</v>
      </c>
      <c r="C3384" s="5" t="s">
        <v>5340</v>
      </c>
      <c r="D3384" s="2" t="s">
        <v>5341</v>
      </c>
    </row>
    <row r="3385" spans="1:4" ht="13.05" customHeight="1" x14ac:dyDescent="0.3">
      <c r="A3385" s="2" t="s">
        <v>432</v>
      </c>
      <c r="B3385" s="2" t="s">
        <v>1054</v>
      </c>
      <c r="C3385" s="5" t="s">
        <v>5342</v>
      </c>
      <c r="D3385" s="2" t="s">
        <v>5343</v>
      </c>
    </row>
    <row r="3386" spans="1:4" ht="13.05" customHeight="1" x14ac:dyDescent="0.3">
      <c r="A3386" s="2" t="s">
        <v>432</v>
      </c>
      <c r="B3386" s="2" t="s">
        <v>1054</v>
      </c>
      <c r="C3386" s="5" t="s">
        <v>5344</v>
      </c>
      <c r="D3386" s="2" t="s">
        <v>5345</v>
      </c>
    </row>
    <row r="3387" spans="1:4" ht="13.05" customHeight="1" x14ac:dyDescent="0.3">
      <c r="A3387" s="2" t="s">
        <v>432</v>
      </c>
      <c r="B3387" s="2" t="s">
        <v>1054</v>
      </c>
      <c r="C3387" s="5" t="s">
        <v>5346</v>
      </c>
      <c r="D3387" s="2" t="s">
        <v>5347</v>
      </c>
    </row>
    <row r="3388" spans="1:4" ht="13.05" customHeight="1" x14ac:dyDescent="0.3">
      <c r="A3388" s="2" t="s">
        <v>432</v>
      </c>
      <c r="B3388" s="2" t="s">
        <v>1054</v>
      </c>
      <c r="C3388" s="5" t="s">
        <v>5348</v>
      </c>
      <c r="D3388" s="2" t="s">
        <v>5349</v>
      </c>
    </row>
    <row r="3389" spans="1:4" ht="13.05" customHeight="1" x14ac:dyDescent="0.3">
      <c r="A3389" s="2" t="s">
        <v>432</v>
      </c>
      <c r="B3389" s="2" t="s">
        <v>1054</v>
      </c>
      <c r="C3389" s="5" t="s">
        <v>5350</v>
      </c>
      <c r="D3389" s="2" t="s">
        <v>5351</v>
      </c>
    </row>
    <row r="3390" spans="1:4" ht="13.05" customHeight="1" x14ac:dyDescent="0.3">
      <c r="A3390" s="2" t="s">
        <v>432</v>
      </c>
      <c r="B3390" s="2" t="s">
        <v>1054</v>
      </c>
      <c r="C3390" s="5" t="s">
        <v>5352</v>
      </c>
      <c r="D3390" s="2" t="s">
        <v>5353</v>
      </c>
    </row>
    <row r="3391" spans="1:4" ht="13.05" customHeight="1" x14ac:dyDescent="0.3">
      <c r="A3391" s="2" t="s">
        <v>432</v>
      </c>
      <c r="B3391" s="2" t="s">
        <v>1054</v>
      </c>
      <c r="C3391" s="5" t="s">
        <v>5354</v>
      </c>
      <c r="D3391" s="2" t="s">
        <v>5355</v>
      </c>
    </row>
    <row r="3392" spans="1:4" ht="13.05" customHeight="1" x14ac:dyDescent="0.3">
      <c r="A3392" s="2" t="s">
        <v>432</v>
      </c>
      <c r="B3392" s="2" t="s">
        <v>1054</v>
      </c>
      <c r="C3392" s="5" t="s">
        <v>5356</v>
      </c>
      <c r="D3392" s="2" t="s">
        <v>5357</v>
      </c>
    </row>
    <row r="3393" spans="1:4" ht="13.05" customHeight="1" x14ac:dyDescent="0.3">
      <c r="A3393" s="2" t="s">
        <v>432</v>
      </c>
      <c r="B3393" s="2" t="s">
        <v>1054</v>
      </c>
      <c r="C3393" s="5" t="s">
        <v>5358</v>
      </c>
      <c r="D3393" s="2" t="s">
        <v>5359</v>
      </c>
    </row>
    <row r="3394" spans="1:4" ht="13.05" customHeight="1" x14ac:dyDescent="0.3">
      <c r="A3394" s="2" t="s">
        <v>432</v>
      </c>
      <c r="B3394" s="2" t="s">
        <v>1054</v>
      </c>
      <c r="C3394" s="5" t="s">
        <v>5360</v>
      </c>
      <c r="D3394" s="2" t="s">
        <v>5361</v>
      </c>
    </row>
    <row r="3395" spans="1:4" ht="13.05" customHeight="1" x14ac:dyDescent="0.3">
      <c r="A3395" s="2" t="s">
        <v>432</v>
      </c>
      <c r="B3395" s="2" t="s">
        <v>1054</v>
      </c>
      <c r="C3395" s="5" t="s">
        <v>5362</v>
      </c>
      <c r="D3395" s="2" t="s">
        <v>5363</v>
      </c>
    </row>
    <row r="3396" spans="1:4" ht="13.05" customHeight="1" x14ac:dyDescent="0.3">
      <c r="A3396" s="2" t="s">
        <v>432</v>
      </c>
      <c r="B3396" s="2" t="s">
        <v>1054</v>
      </c>
      <c r="C3396" s="5" t="s">
        <v>5364</v>
      </c>
      <c r="D3396" s="2" t="s">
        <v>3445</v>
      </c>
    </row>
    <row r="3397" spans="1:4" ht="13.05" customHeight="1" x14ac:dyDescent="0.3">
      <c r="A3397" s="2" t="s">
        <v>432</v>
      </c>
      <c r="B3397" s="2" t="s">
        <v>1054</v>
      </c>
      <c r="C3397" s="5" t="s">
        <v>5365</v>
      </c>
      <c r="D3397" s="2" t="s">
        <v>3447</v>
      </c>
    </row>
    <row r="3398" spans="1:4" ht="13.05" customHeight="1" x14ac:dyDescent="0.3">
      <c r="A3398" s="2" t="s">
        <v>432</v>
      </c>
      <c r="B3398" s="2" t="s">
        <v>1054</v>
      </c>
      <c r="C3398" s="5" t="s">
        <v>5366</v>
      </c>
      <c r="D3398" s="2" t="s">
        <v>5367</v>
      </c>
    </row>
    <row r="3399" spans="1:4" ht="13.05" customHeight="1" x14ac:dyDescent="0.3">
      <c r="A3399" s="2" t="s">
        <v>432</v>
      </c>
      <c r="B3399" s="2" t="s">
        <v>1054</v>
      </c>
      <c r="C3399" s="5" t="s">
        <v>5368</v>
      </c>
      <c r="D3399" s="2" t="s">
        <v>5369</v>
      </c>
    </row>
    <row r="3400" spans="1:4" ht="13.05" customHeight="1" x14ac:dyDescent="0.3">
      <c r="A3400" s="2" t="s">
        <v>432</v>
      </c>
      <c r="B3400" s="2" t="s">
        <v>1054</v>
      </c>
      <c r="C3400" s="5" t="s">
        <v>5370</v>
      </c>
      <c r="D3400" s="2" t="s">
        <v>5371</v>
      </c>
    </row>
    <row r="3401" spans="1:4" ht="13.05" customHeight="1" x14ac:dyDescent="0.3">
      <c r="A3401" s="2" t="s">
        <v>432</v>
      </c>
      <c r="B3401" s="2" t="s">
        <v>1054</v>
      </c>
      <c r="C3401" s="5" t="s">
        <v>5372</v>
      </c>
      <c r="D3401" s="2" t="s">
        <v>3367</v>
      </c>
    </row>
    <row r="3402" spans="1:4" ht="13.05" customHeight="1" x14ac:dyDescent="0.3">
      <c r="A3402" s="2" t="s">
        <v>432</v>
      </c>
      <c r="B3402" s="2" t="s">
        <v>1054</v>
      </c>
      <c r="C3402" s="5" t="s">
        <v>5373</v>
      </c>
      <c r="D3402" s="2" t="s">
        <v>5374</v>
      </c>
    </row>
    <row r="3403" spans="1:4" ht="13.05" customHeight="1" x14ac:dyDescent="0.3">
      <c r="A3403" s="2" t="s">
        <v>432</v>
      </c>
      <c r="B3403" s="2" t="s">
        <v>1054</v>
      </c>
      <c r="C3403" s="5" t="s">
        <v>5375</v>
      </c>
      <c r="D3403" s="2" t="s">
        <v>5376</v>
      </c>
    </row>
    <row r="3404" spans="1:4" ht="13.05" customHeight="1" x14ac:dyDescent="0.3">
      <c r="A3404" s="2" t="s">
        <v>432</v>
      </c>
      <c r="B3404" s="2" t="s">
        <v>1054</v>
      </c>
      <c r="C3404" s="5" t="s">
        <v>5377</v>
      </c>
      <c r="D3404" s="2" t="s">
        <v>5378</v>
      </c>
    </row>
    <row r="3405" spans="1:4" ht="13.05" customHeight="1" x14ac:dyDescent="0.3">
      <c r="A3405" s="2" t="s">
        <v>432</v>
      </c>
      <c r="B3405" s="2" t="s">
        <v>1054</v>
      </c>
      <c r="C3405" s="5" t="s">
        <v>5379</v>
      </c>
      <c r="D3405" s="2" t="s">
        <v>5380</v>
      </c>
    </row>
    <row r="3406" spans="1:4" ht="13.05" customHeight="1" x14ac:dyDescent="0.3">
      <c r="A3406" s="2" t="s">
        <v>432</v>
      </c>
      <c r="B3406" s="2" t="s">
        <v>1054</v>
      </c>
      <c r="C3406" s="5" t="s">
        <v>5381</v>
      </c>
      <c r="D3406" s="2" t="s">
        <v>5382</v>
      </c>
    </row>
    <row r="3407" spans="1:4" ht="13.05" customHeight="1" x14ac:dyDescent="0.3">
      <c r="A3407" s="2" t="s">
        <v>432</v>
      </c>
      <c r="B3407" s="2" t="s">
        <v>1054</v>
      </c>
      <c r="C3407" s="5" t="s">
        <v>5383</v>
      </c>
      <c r="D3407" s="2" t="s">
        <v>5384</v>
      </c>
    </row>
    <row r="3408" spans="1:4" ht="13.05" customHeight="1" x14ac:dyDescent="0.3">
      <c r="A3408" s="2" t="s">
        <v>432</v>
      </c>
      <c r="B3408" s="2" t="s">
        <v>1054</v>
      </c>
      <c r="C3408" s="5" t="s">
        <v>5385</v>
      </c>
      <c r="D3408" s="2" t="s">
        <v>5386</v>
      </c>
    </row>
    <row r="3409" spans="1:4" ht="13.05" customHeight="1" x14ac:dyDescent="0.3">
      <c r="A3409" s="2" t="s">
        <v>432</v>
      </c>
      <c r="B3409" s="2" t="s">
        <v>1054</v>
      </c>
      <c r="C3409" s="5" t="s">
        <v>5387</v>
      </c>
      <c r="D3409" s="2" t="s">
        <v>5388</v>
      </c>
    </row>
    <row r="3410" spans="1:4" ht="13.05" customHeight="1" x14ac:dyDescent="0.3">
      <c r="A3410" s="2" t="s">
        <v>432</v>
      </c>
      <c r="B3410" s="2" t="s">
        <v>1054</v>
      </c>
      <c r="C3410" s="5" t="s">
        <v>5389</v>
      </c>
      <c r="D3410" s="2" t="s">
        <v>5390</v>
      </c>
    </row>
    <row r="3411" spans="1:4" ht="13.05" customHeight="1" x14ac:dyDescent="0.3">
      <c r="A3411" s="2" t="s">
        <v>432</v>
      </c>
      <c r="B3411" s="2" t="s">
        <v>1054</v>
      </c>
      <c r="C3411" s="5" t="s">
        <v>5391</v>
      </c>
      <c r="D3411" s="2" t="s">
        <v>5392</v>
      </c>
    </row>
    <row r="3412" spans="1:4" ht="13.05" customHeight="1" x14ac:dyDescent="0.3">
      <c r="A3412" s="2" t="s">
        <v>432</v>
      </c>
      <c r="B3412" s="2" t="s">
        <v>1054</v>
      </c>
      <c r="C3412" s="5" t="s">
        <v>5393</v>
      </c>
      <c r="D3412" s="2" t="s">
        <v>5394</v>
      </c>
    </row>
    <row r="3413" spans="1:4" ht="13.05" customHeight="1" x14ac:dyDescent="0.3">
      <c r="A3413" s="2" t="s">
        <v>432</v>
      </c>
      <c r="B3413" s="2" t="s">
        <v>1054</v>
      </c>
      <c r="C3413" s="5" t="s">
        <v>5395</v>
      </c>
      <c r="D3413" s="2" t="s">
        <v>5396</v>
      </c>
    </row>
    <row r="3414" spans="1:4" ht="13.05" customHeight="1" x14ac:dyDescent="0.3">
      <c r="A3414" s="2" t="s">
        <v>432</v>
      </c>
      <c r="B3414" s="2" t="s">
        <v>1054</v>
      </c>
      <c r="C3414" s="5" t="s">
        <v>5397</v>
      </c>
      <c r="D3414" s="2" t="s">
        <v>5398</v>
      </c>
    </row>
    <row r="3415" spans="1:4" ht="13.05" customHeight="1" x14ac:dyDescent="0.3">
      <c r="A3415" s="2" t="s">
        <v>432</v>
      </c>
      <c r="B3415" s="2" t="s">
        <v>1054</v>
      </c>
      <c r="C3415" s="5" t="s">
        <v>5399</v>
      </c>
      <c r="D3415" s="2" t="s">
        <v>3445</v>
      </c>
    </row>
    <row r="3416" spans="1:4" ht="13.05" customHeight="1" x14ac:dyDescent="0.3">
      <c r="A3416" s="2" t="s">
        <v>432</v>
      </c>
      <c r="B3416" s="2" t="s">
        <v>1054</v>
      </c>
      <c r="C3416" s="5" t="s">
        <v>5400</v>
      </c>
      <c r="D3416" s="2" t="s">
        <v>3447</v>
      </c>
    </row>
    <row r="3417" spans="1:4" ht="13.05" customHeight="1" x14ac:dyDescent="0.3">
      <c r="A3417" s="2" t="s">
        <v>432</v>
      </c>
      <c r="B3417" s="2" t="s">
        <v>1054</v>
      </c>
      <c r="C3417" s="5" t="s">
        <v>5401</v>
      </c>
      <c r="D3417" s="2" t="s">
        <v>5402</v>
      </c>
    </row>
    <row r="3418" spans="1:4" ht="13.05" customHeight="1" x14ac:dyDescent="0.3">
      <c r="A3418" s="2" t="s">
        <v>432</v>
      </c>
      <c r="B3418" s="2" t="s">
        <v>1054</v>
      </c>
      <c r="C3418" s="5" t="s">
        <v>5403</v>
      </c>
      <c r="D3418" s="2" t="s">
        <v>5404</v>
      </c>
    </row>
    <row r="3419" spans="1:4" ht="13.05" customHeight="1" x14ac:dyDescent="0.3">
      <c r="A3419" s="2" t="s">
        <v>432</v>
      </c>
      <c r="B3419" s="2" t="s">
        <v>1054</v>
      </c>
      <c r="C3419" s="5" t="s">
        <v>5405</v>
      </c>
      <c r="D3419" s="2" t="s">
        <v>5406</v>
      </c>
    </row>
    <row r="3420" spans="1:4" ht="13.05" customHeight="1" x14ac:dyDescent="0.3">
      <c r="A3420" s="2" t="s">
        <v>432</v>
      </c>
      <c r="B3420" s="2" t="s">
        <v>1054</v>
      </c>
      <c r="C3420" s="5" t="s">
        <v>5407</v>
      </c>
      <c r="D3420" s="2" t="s">
        <v>5408</v>
      </c>
    </row>
    <row r="3421" spans="1:4" ht="13.05" customHeight="1" x14ac:dyDescent="0.3">
      <c r="A3421" s="2" t="s">
        <v>432</v>
      </c>
      <c r="B3421" s="2" t="s">
        <v>1054</v>
      </c>
      <c r="C3421" s="5" t="s">
        <v>5409</v>
      </c>
      <c r="D3421" s="2" t="s">
        <v>5410</v>
      </c>
    </row>
    <row r="3422" spans="1:4" ht="13.05" customHeight="1" x14ac:dyDescent="0.3">
      <c r="A3422" s="2" t="s">
        <v>432</v>
      </c>
      <c r="B3422" s="2" t="s">
        <v>1054</v>
      </c>
      <c r="C3422" s="5" t="s">
        <v>5411</v>
      </c>
      <c r="D3422" s="2" t="s">
        <v>4258</v>
      </c>
    </row>
    <row r="3423" spans="1:4" ht="13.05" customHeight="1" x14ac:dyDescent="0.3">
      <c r="A3423" s="2" t="s">
        <v>432</v>
      </c>
      <c r="B3423" s="2" t="s">
        <v>1054</v>
      </c>
      <c r="C3423" s="5" t="s">
        <v>5412</v>
      </c>
      <c r="D3423" s="2" t="s">
        <v>5413</v>
      </c>
    </row>
    <row r="3424" spans="1:4" ht="13.05" customHeight="1" x14ac:dyDescent="0.3">
      <c r="A3424" s="2" t="s">
        <v>432</v>
      </c>
      <c r="B3424" s="2" t="s">
        <v>1054</v>
      </c>
      <c r="C3424" s="5" t="s">
        <v>5414</v>
      </c>
      <c r="D3424" s="2" t="s">
        <v>5415</v>
      </c>
    </row>
    <row r="3425" spans="1:4" ht="13.05" customHeight="1" x14ac:dyDescent="0.3">
      <c r="A3425" s="2" t="s">
        <v>432</v>
      </c>
      <c r="B3425" s="2" t="s">
        <v>1054</v>
      </c>
      <c r="C3425" s="5" t="s">
        <v>5416</v>
      </c>
      <c r="D3425" s="2" t="s">
        <v>5417</v>
      </c>
    </row>
    <row r="3426" spans="1:4" ht="13.05" customHeight="1" x14ac:dyDescent="0.3">
      <c r="A3426" s="2" t="s">
        <v>432</v>
      </c>
      <c r="B3426" s="2" t="s">
        <v>1054</v>
      </c>
      <c r="C3426" s="5" t="s">
        <v>5418</v>
      </c>
      <c r="D3426" s="2" t="s">
        <v>3333</v>
      </c>
    </row>
    <row r="3427" spans="1:4" ht="13.05" customHeight="1" x14ac:dyDescent="0.3">
      <c r="A3427" s="2" t="s">
        <v>432</v>
      </c>
      <c r="B3427" s="2" t="s">
        <v>1054</v>
      </c>
      <c r="C3427" s="5" t="s">
        <v>5419</v>
      </c>
      <c r="D3427" s="2" t="s">
        <v>3335</v>
      </c>
    </row>
    <row r="3428" spans="1:4" ht="13.05" customHeight="1" x14ac:dyDescent="0.3">
      <c r="A3428" s="2" t="s">
        <v>432</v>
      </c>
      <c r="B3428" s="2" t="s">
        <v>1054</v>
      </c>
      <c r="C3428" s="5" t="s">
        <v>5420</v>
      </c>
      <c r="D3428" s="2" t="s">
        <v>5421</v>
      </c>
    </row>
    <row r="3429" spans="1:4" ht="13.05" customHeight="1" x14ac:dyDescent="0.3">
      <c r="A3429" s="2" t="s">
        <v>432</v>
      </c>
      <c r="B3429" s="2" t="s">
        <v>1054</v>
      </c>
      <c r="C3429" s="5" t="s">
        <v>5422</v>
      </c>
      <c r="D3429" s="2" t="s">
        <v>5423</v>
      </c>
    </row>
    <row r="3430" spans="1:4" ht="13.05" customHeight="1" x14ac:dyDescent="0.3">
      <c r="A3430" s="2" t="s">
        <v>432</v>
      </c>
      <c r="B3430" s="2" t="s">
        <v>1054</v>
      </c>
      <c r="C3430" s="5" t="s">
        <v>5424</v>
      </c>
      <c r="D3430" s="2" t="s">
        <v>5425</v>
      </c>
    </row>
    <row r="3431" spans="1:4" ht="13.05" customHeight="1" x14ac:dyDescent="0.3">
      <c r="A3431" s="2" t="s">
        <v>432</v>
      </c>
      <c r="B3431" s="2" t="s">
        <v>1054</v>
      </c>
      <c r="C3431" s="5" t="s">
        <v>5426</v>
      </c>
      <c r="D3431" s="2" t="s">
        <v>5427</v>
      </c>
    </row>
    <row r="3432" spans="1:4" ht="13.05" customHeight="1" x14ac:dyDescent="0.3">
      <c r="A3432" s="2" t="s">
        <v>432</v>
      </c>
      <c r="B3432" s="2" t="s">
        <v>1054</v>
      </c>
      <c r="C3432" s="5" t="s">
        <v>5428</v>
      </c>
      <c r="D3432" s="2" t="s">
        <v>5429</v>
      </c>
    </row>
    <row r="3433" spans="1:4" ht="13.05" customHeight="1" x14ac:dyDescent="0.3">
      <c r="A3433" s="2" t="s">
        <v>432</v>
      </c>
      <c r="B3433" s="2" t="s">
        <v>1054</v>
      </c>
      <c r="C3433" s="5" t="s">
        <v>5430</v>
      </c>
      <c r="D3433" s="2" t="s">
        <v>5431</v>
      </c>
    </row>
    <row r="3434" spans="1:4" ht="13.05" customHeight="1" x14ac:dyDescent="0.3">
      <c r="A3434" s="2" t="s">
        <v>432</v>
      </c>
      <c r="B3434" s="2" t="s">
        <v>1054</v>
      </c>
      <c r="C3434" s="5" t="s">
        <v>5432</v>
      </c>
      <c r="D3434" s="2" t="s">
        <v>5433</v>
      </c>
    </row>
    <row r="3435" spans="1:4" ht="13.05" customHeight="1" x14ac:dyDescent="0.3">
      <c r="A3435" s="2" t="s">
        <v>432</v>
      </c>
      <c r="B3435" s="2" t="s">
        <v>1054</v>
      </c>
      <c r="C3435" s="5" t="s">
        <v>5434</v>
      </c>
      <c r="D3435" s="2" t="s">
        <v>5435</v>
      </c>
    </row>
    <row r="3436" spans="1:4" ht="13.05" customHeight="1" x14ac:dyDescent="0.3">
      <c r="A3436" s="2" t="s">
        <v>432</v>
      </c>
      <c r="B3436" s="2" t="s">
        <v>1054</v>
      </c>
      <c r="C3436" s="5" t="s">
        <v>5436</v>
      </c>
      <c r="D3436" s="2" t="s">
        <v>5437</v>
      </c>
    </row>
    <row r="3437" spans="1:4" ht="13.05" customHeight="1" x14ac:dyDescent="0.3">
      <c r="A3437" s="2" t="s">
        <v>432</v>
      </c>
      <c r="B3437" s="2" t="s">
        <v>1054</v>
      </c>
      <c r="C3437" s="5" t="s">
        <v>5438</v>
      </c>
      <c r="D3437" s="2" t="s">
        <v>5439</v>
      </c>
    </row>
    <row r="3438" spans="1:4" ht="13.05" customHeight="1" x14ac:dyDescent="0.3">
      <c r="A3438" s="2" t="s">
        <v>432</v>
      </c>
      <c r="B3438" s="2" t="s">
        <v>1054</v>
      </c>
      <c r="C3438" s="5" t="s">
        <v>5440</v>
      </c>
      <c r="D3438" s="2" t="s">
        <v>5441</v>
      </c>
    </row>
    <row r="3439" spans="1:4" ht="13.05" customHeight="1" x14ac:dyDescent="0.3">
      <c r="A3439" s="2" t="s">
        <v>432</v>
      </c>
      <c r="B3439" s="2" t="s">
        <v>1054</v>
      </c>
      <c r="C3439" s="5" t="s">
        <v>5442</v>
      </c>
      <c r="D3439" s="2" t="s">
        <v>5443</v>
      </c>
    </row>
    <row r="3440" spans="1:4" ht="13.05" customHeight="1" x14ac:dyDescent="0.3">
      <c r="A3440" s="2" t="s">
        <v>432</v>
      </c>
      <c r="B3440" s="2" t="s">
        <v>1054</v>
      </c>
      <c r="C3440" s="5" t="s">
        <v>5444</v>
      </c>
      <c r="D3440" s="2" t="s">
        <v>5445</v>
      </c>
    </row>
    <row r="3441" spans="1:4" ht="13.05" customHeight="1" x14ac:dyDescent="0.3">
      <c r="A3441" s="2" t="s">
        <v>432</v>
      </c>
      <c r="B3441" s="2" t="s">
        <v>1054</v>
      </c>
      <c r="C3441" s="5" t="s">
        <v>5446</v>
      </c>
      <c r="D3441" s="2" t="s">
        <v>5447</v>
      </c>
    </row>
    <row r="3442" spans="1:4" ht="13.05" customHeight="1" x14ac:dyDescent="0.3">
      <c r="A3442" s="2" t="s">
        <v>432</v>
      </c>
      <c r="B3442" s="2" t="s">
        <v>1054</v>
      </c>
      <c r="C3442" s="5" t="s">
        <v>5448</v>
      </c>
      <c r="D3442" s="2" t="s">
        <v>5449</v>
      </c>
    </row>
    <row r="3443" spans="1:4" ht="13.05" customHeight="1" x14ac:dyDescent="0.3">
      <c r="A3443" s="2" t="s">
        <v>432</v>
      </c>
      <c r="B3443" s="2" t="s">
        <v>1054</v>
      </c>
      <c r="C3443" s="5" t="s">
        <v>5450</v>
      </c>
      <c r="D3443" s="2" t="s">
        <v>5451</v>
      </c>
    </row>
    <row r="3444" spans="1:4" ht="13.05" customHeight="1" x14ac:dyDescent="0.3">
      <c r="A3444" s="2" t="s">
        <v>432</v>
      </c>
      <c r="B3444" s="2" t="s">
        <v>1054</v>
      </c>
      <c r="C3444" s="5" t="s">
        <v>5452</v>
      </c>
      <c r="D3444" s="2" t="s">
        <v>3445</v>
      </c>
    </row>
    <row r="3445" spans="1:4" ht="13.05" customHeight="1" x14ac:dyDescent="0.3">
      <c r="A3445" s="2" t="s">
        <v>432</v>
      </c>
      <c r="B3445" s="2" t="s">
        <v>1054</v>
      </c>
      <c r="C3445" s="5" t="s">
        <v>5453</v>
      </c>
      <c r="D3445" s="2" t="s">
        <v>3447</v>
      </c>
    </row>
    <row r="3446" spans="1:4" ht="13.05" customHeight="1" x14ac:dyDescent="0.3">
      <c r="A3446" s="2" t="s">
        <v>432</v>
      </c>
      <c r="B3446" s="2" t="s">
        <v>1054</v>
      </c>
      <c r="C3446" s="5" t="s">
        <v>5454</v>
      </c>
      <c r="D3446" s="2" t="s">
        <v>5455</v>
      </c>
    </row>
    <row r="3447" spans="1:4" ht="13.05" customHeight="1" x14ac:dyDescent="0.3">
      <c r="A3447" s="2" t="s">
        <v>432</v>
      </c>
      <c r="B3447" s="2" t="s">
        <v>1054</v>
      </c>
      <c r="C3447" s="5" t="s">
        <v>5456</v>
      </c>
      <c r="D3447" s="2" t="s">
        <v>5457</v>
      </c>
    </row>
    <row r="3448" spans="1:4" ht="13.05" customHeight="1" x14ac:dyDescent="0.3">
      <c r="A3448" s="2" t="s">
        <v>432</v>
      </c>
      <c r="B3448" s="2" t="s">
        <v>1054</v>
      </c>
      <c r="C3448" s="5" t="s">
        <v>5458</v>
      </c>
      <c r="D3448" s="2" t="s">
        <v>5459</v>
      </c>
    </row>
    <row r="3449" spans="1:4" ht="13.05" customHeight="1" x14ac:dyDescent="0.3">
      <c r="A3449" s="2" t="s">
        <v>432</v>
      </c>
      <c r="B3449" s="2" t="s">
        <v>1054</v>
      </c>
      <c r="C3449" s="5" t="s">
        <v>5460</v>
      </c>
      <c r="D3449" s="2" t="s">
        <v>5461</v>
      </c>
    </row>
    <row r="3450" spans="1:4" ht="13.05" customHeight="1" x14ac:dyDescent="0.3">
      <c r="A3450" s="2" t="s">
        <v>432</v>
      </c>
      <c r="B3450" s="2" t="s">
        <v>1054</v>
      </c>
      <c r="C3450" s="5" t="s">
        <v>5462</v>
      </c>
      <c r="D3450" s="2" t="s">
        <v>5463</v>
      </c>
    </row>
    <row r="3451" spans="1:4" ht="13.05" customHeight="1" x14ac:dyDescent="0.3">
      <c r="A3451" s="2" t="s">
        <v>432</v>
      </c>
      <c r="B3451" s="2" t="s">
        <v>1054</v>
      </c>
      <c r="C3451" s="5" t="s">
        <v>5464</v>
      </c>
      <c r="D3451" s="2" t="s">
        <v>5465</v>
      </c>
    </row>
    <row r="3452" spans="1:4" ht="13.05" customHeight="1" x14ac:dyDescent="0.3">
      <c r="A3452" s="2" t="s">
        <v>432</v>
      </c>
      <c r="B3452" s="2" t="s">
        <v>1054</v>
      </c>
      <c r="C3452" s="5" t="s">
        <v>5466</v>
      </c>
      <c r="D3452" s="2" t="s">
        <v>3367</v>
      </c>
    </row>
    <row r="3453" spans="1:4" ht="13.05" customHeight="1" x14ac:dyDescent="0.3">
      <c r="A3453" s="2" t="s">
        <v>432</v>
      </c>
      <c r="B3453" s="2" t="s">
        <v>1054</v>
      </c>
      <c r="C3453" s="5" t="s">
        <v>5467</v>
      </c>
      <c r="D3453" s="2" t="s">
        <v>5468</v>
      </c>
    </row>
    <row r="3454" spans="1:4" ht="13.05" customHeight="1" x14ac:dyDescent="0.3">
      <c r="A3454" s="2" t="s">
        <v>432</v>
      </c>
      <c r="B3454" s="2" t="s">
        <v>1054</v>
      </c>
      <c r="C3454" s="5" t="s">
        <v>5469</v>
      </c>
      <c r="D3454" s="2" t="s">
        <v>5470</v>
      </c>
    </row>
    <row r="3455" spans="1:4" ht="13.05" customHeight="1" x14ac:dyDescent="0.3">
      <c r="A3455" s="2" t="s">
        <v>432</v>
      </c>
      <c r="B3455" s="2" t="s">
        <v>1054</v>
      </c>
      <c r="C3455" s="5" t="s">
        <v>5471</v>
      </c>
      <c r="D3455" s="2" t="s">
        <v>5472</v>
      </c>
    </row>
    <row r="3456" spans="1:4" ht="13.05" customHeight="1" x14ac:dyDescent="0.3">
      <c r="A3456" s="2" t="s">
        <v>432</v>
      </c>
      <c r="B3456" s="2" t="s">
        <v>1054</v>
      </c>
      <c r="C3456" s="5" t="s">
        <v>5473</v>
      </c>
      <c r="D3456" s="2" t="s">
        <v>5474</v>
      </c>
    </row>
    <row r="3457" spans="1:4" ht="13.05" customHeight="1" x14ac:dyDescent="0.3">
      <c r="A3457" s="2" t="s">
        <v>432</v>
      </c>
      <c r="B3457" s="2" t="s">
        <v>1054</v>
      </c>
      <c r="C3457" s="5" t="s">
        <v>5475</v>
      </c>
      <c r="D3457" s="2" t="s">
        <v>5476</v>
      </c>
    </row>
    <row r="3458" spans="1:4" ht="13.05" customHeight="1" x14ac:dyDescent="0.3">
      <c r="A3458" s="2" t="s">
        <v>432</v>
      </c>
      <c r="B3458" s="2" t="s">
        <v>1054</v>
      </c>
      <c r="C3458" s="5" t="s">
        <v>5477</v>
      </c>
      <c r="D3458" s="2" t="s">
        <v>5478</v>
      </c>
    </row>
    <row r="3459" spans="1:4" ht="13.05" customHeight="1" x14ac:dyDescent="0.3">
      <c r="A3459" s="2" t="s">
        <v>432</v>
      </c>
      <c r="B3459" s="2" t="s">
        <v>1054</v>
      </c>
      <c r="C3459" s="5" t="s">
        <v>5479</v>
      </c>
      <c r="D3459" s="2" t="s">
        <v>5480</v>
      </c>
    </row>
    <row r="3460" spans="1:4" ht="13.05" customHeight="1" x14ac:dyDescent="0.3">
      <c r="A3460" s="2" t="s">
        <v>432</v>
      </c>
      <c r="B3460" s="2" t="s">
        <v>1054</v>
      </c>
      <c r="C3460" s="5" t="s">
        <v>5481</v>
      </c>
      <c r="D3460" s="2" t="s">
        <v>5482</v>
      </c>
    </row>
    <row r="3461" spans="1:4" ht="13.05" customHeight="1" x14ac:dyDescent="0.3">
      <c r="A3461" s="2" t="s">
        <v>432</v>
      </c>
      <c r="B3461" s="2" t="s">
        <v>1054</v>
      </c>
      <c r="C3461" s="5" t="s">
        <v>5483</v>
      </c>
      <c r="D3461" s="2" t="s">
        <v>5484</v>
      </c>
    </row>
    <row r="3462" spans="1:4" ht="13.05" customHeight="1" x14ac:dyDescent="0.3">
      <c r="A3462" s="2" t="s">
        <v>432</v>
      </c>
      <c r="B3462" s="2" t="s">
        <v>1054</v>
      </c>
      <c r="C3462" s="5" t="s">
        <v>5485</v>
      </c>
      <c r="D3462" s="2" t="s">
        <v>5486</v>
      </c>
    </row>
    <row r="3463" spans="1:4" ht="13.05" customHeight="1" x14ac:dyDescent="0.3">
      <c r="A3463" s="2" t="s">
        <v>432</v>
      </c>
      <c r="B3463" s="2" t="s">
        <v>1054</v>
      </c>
      <c r="C3463" s="5" t="s">
        <v>5487</v>
      </c>
      <c r="D3463" s="2" t="s">
        <v>5488</v>
      </c>
    </row>
    <row r="3464" spans="1:4" ht="13.05" customHeight="1" x14ac:dyDescent="0.3">
      <c r="A3464" s="2" t="s">
        <v>432</v>
      </c>
      <c r="B3464" s="2" t="s">
        <v>1054</v>
      </c>
      <c r="C3464" s="5" t="s">
        <v>5489</v>
      </c>
      <c r="D3464" s="2" t="s">
        <v>3445</v>
      </c>
    </row>
    <row r="3465" spans="1:4" ht="13.05" customHeight="1" x14ac:dyDescent="0.3">
      <c r="A3465" s="2" t="s">
        <v>432</v>
      </c>
      <c r="B3465" s="2" t="s">
        <v>1054</v>
      </c>
      <c r="C3465" s="5" t="s">
        <v>5490</v>
      </c>
      <c r="D3465" s="2" t="s">
        <v>3447</v>
      </c>
    </row>
    <row r="3466" spans="1:4" ht="13.05" customHeight="1" x14ac:dyDescent="0.3">
      <c r="A3466" s="2" t="s">
        <v>432</v>
      </c>
      <c r="B3466" s="2" t="s">
        <v>1054</v>
      </c>
      <c r="C3466" s="5" t="s">
        <v>5491</v>
      </c>
      <c r="D3466" s="2" t="s">
        <v>5492</v>
      </c>
    </row>
    <row r="3467" spans="1:4" ht="13.05" customHeight="1" x14ac:dyDescent="0.3">
      <c r="A3467" s="2" t="s">
        <v>432</v>
      </c>
      <c r="B3467" s="2" t="s">
        <v>1054</v>
      </c>
      <c r="C3467" s="5" t="s">
        <v>5493</v>
      </c>
      <c r="D3467" s="2" t="s">
        <v>5494</v>
      </c>
    </row>
    <row r="3468" spans="1:4" ht="13.05" customHeight="1" x14ac:dyDescent="0.3">
      <c r="A3468" s="2" t="s">
        <v>432</v>
      </c>
      <c r="B3468" s="2" t="s">
        <v>1054</v>
      </c>
      <c r="C3468" s="5" t="s">
        <v>5495</v>
      </c>
      <c r="D3468" s="2" t="s">
        <v>5496</v>
      </c>
    </row>
    <row r="3469" spans="1:4" ht="13.05" customHeight="1" x14ac:dyDescent="0.3">
      <c r="A3469" s="2" t="s">
        <v>432</v>
      </c>
      <c r="B3469" s="2" t="s">
        <v>1054</v>
      </c>
      <c r="C3469" s="5" t="s">
        <v>5497</v>
      </c>
      <c r="D3469" s="2" t="s">
        <v>5498</v>
      </c>
    </row>
    <row r="3470" spans="1:4" ht="13.05" customHeight="1" x14ac:dyDescent="0.3">
      <c r="A3470" s="2" t="s">
        <v>432</v>
      </c>
      <c r="B3470" s="2" t="s">
        <v>1054</v>
      </c>
      <c r="C3470" s="5" t="s">
        <v>5499</v>
      </c>
      <c r="D3470" s="2" t="s">
        <v>5500</v>
      </c>
    </row>
    <row r="3471" spans="1:4" ht="13.05" customHeight="1" x14ac:dyDescent="0.3">
      <c r="A3471" s="2" t="s">
        <v>432</v>
      </c>
      <c r="B3471" s="2" t="s">
        <v>1054</v>
      </c>
      <c r="C3471" s="5" t="s">
        <v>5501</v>
      </c>
      <c r="D3471" s="2" t="s">
        <v>5502</v>
      </c>
    </row>
    <row r="3472" spans="1:4" ht="13.05" customHeight="1" x14ac:dyDescent="0.3">
      <c r="A3472" s="2" t="s">
        <v>432</v>
      </c>
      <c r="B3472" s="2" t="s">
        <v>1054</v>
      </c>
      <c r="C3472" s="5" t="s">
        <v>5503</v>
      </c>
      <c r="D3472" s="2" t="s">
        <v>3367</v>
      </c>
    </row>
    <row r="3473" spans="1:4" ht="13.05" customHeight="1" x14ac:dyDescent="0.3">
      <c r="A3473" s="2" t="s">
        <v>432</v>
      </c>
      <c r="B3473" s="2" t="s">
        <v>1054</v>
      </c>
      <c r="C3473" s="5" t="s">
        <v>5504</v>
      </c>
      <c r="D3473" s="2" t="s">
        <v>5505</v>
      </c>
    </row>
    <row r="3474" spans="1:4" ht="13.05" customHeight="1" x14ac:dyDescent="0.3">
      <c r="A3474" s="2" t="s">
        <v>432</v>
      </c>
      <c r="B3474" s="2" t="s">
        <v>1054</v>
      </c>
      <c r="C3474" s="5" t="s">
        <v>5506</v>
      </c>
      <c r="D3474" s="2" t="s">
        <v>5507</v>
      </c>
    </row>
    <row r="3475" spans="1:4" ht="13.05" customHeight="1" x14ac:dyDescent="0.3">
      <c r="A3475" s="2" t="s">
        <v>432</v>
      </c>
      <c r="B3475" s="2" t="s">
        <v>1054</v>
      </c>
      <c r="C3475" s="5" t="s">
        <v>5508</v>
      </c>
      <c r="D3475" s="2" t="s">
        <v>5509</v>
      </c>
    </row>
    <row r="3476" spans="1:4" ht="13.05" customHeight="1" x14ac:dyDescent="0.3">
      <c r="A3476" s="2" t="s">
        <v>432</v>
      </c>
      <c r="B3476" s="2" t="s">
        <v>1054</v>
      </c>
      <c r="C3476" s="5" t="s">
        <v>5510</v>
      </c>
      <c r="D3476" s="2" t="s">
        <v>5511</v>
      </c>
    </row>
    <row r="3477" spans="1:4" ht="13.05" customHeight="1" x14ac:dyDescent="0.3">
      <c r="A3477" s="2" t="s">
        <v>432</v>
      </c>
      <c r="B3477" s="2" t="s">
        <v>1054</v>
      </c>
      <c r="C3477" s="5" t="s">
        <v>5512</v>
      </c>
      <c r="D3477" s="2" t="s">
        <v>5513</v>
      </c>
    </row>
    <row r="3478" spans="1:4" ht="13.05" customHeight="1" x14ac:dyDescent="0.3">
      <c r="A3478" s="2" t="s">
        <v>432</v>
      </c>
      <c r="B3478" s="2" t="s">
        <v>1054</v>
      </c>
      <c r="C3478" s="5" t="s">
        <v>5514</v>
      </c>
      <c r="D3478" s="2" t="s">
        <v>3333</v>
      </c>
    </row>
    <row r="3479" spans="1:4" ht="13.05" customHeight="1" x14ac:dyDescent="0.3">
      <c r="A3479" s="2" t="s">
        <v>432</v>
      </c>
      <c r="B3479" s="2" t="s">
        <v>1054</v>
      </c>
      <c r="C3479" s="5" t="s">
        <v>5515</v>
      </c>
      <c r="D3479" s="2" t="s">
        <v>3335</v>
      </c>
    </row>
    <row r="3480" spans="1:4" ht="13.05" customHeight="1" x14ac:dyDescent="0.3">
      <c r="A3480" s="2" t="s">
        <v>432</v>
      </c>
      <c r="B3480" s="2" t="s">
        <v>1054</v>
      </c>
      <c r="C3480" s="5" t="s">
        <v>5516</v>
      </c>
      <c r="D3480" s="2" t="s">
        <v>5517</v>
      </c>
    </row>
    <row r="3481" spans="1:4" ht="13.05" customHeight="1" x14ac:dyDescent="0.3">
      <c r="A3481" s="2" t="s">
        <v>432</v>
      </c>
      <c r="B3481" s="2" t="s">
        <v>1054</v>
      </c>
      <c r="C3481" s="5" t="s">
        <v>5518</v>
      </c>
      <c r="D3481" s="2" t="s">
        <v>5519</v>
      </c>
    </row>
    <row r="3482" spans="1:4" ht="13.05" customHeight="1" x14ac:dyDescent="0.3">
      <c r="A3482" s="2" t="s">
        <v>432</v>
      </c>
      <c r="B3482" s="2" t="s">
        <v>1054</v>
      </c>
      <c r="C3482" s="5" t="s">
        <v>5520</v>
      </c>
      <c r="D3482" s="2" t="s">
        <v>5521</v>
      </c>
    </row>
    <row r="3483" spans="1:4" ht="13.05" customHeight="1" x14ac:dyDescent="0.3">
      <c r="A3483" s="2" t="s">
        <v>432</v>
      </c>
      <c r="B3483" s="2" t="s">
        <v>1054</v>
      </c>
      <c r="C3483" s="5" t="s">
        <v>5522</v>
      </c>
      <c r="D3483" s="2" t="s">
        <v>5523</v>
      </c>
    </row>
    <row r="3484" spans="1:4" ht="13.05" customHeight="1" x14ac:dyDescent="0.3">
      <c r="A3484" s="2" t="s">
        <v>432</v>
      </c>
      <c r="B3484" s="2" t="s">
        <v>1054</v>
      </c>
      <c r="C3484" s="5" t="s">
        <v>5524</v>
      </c>
      <c r="D3484" s="2" t="s">
        <v>5525</v>
      </c>
    </row>
    <row r="3485" spans="1:4" ht="13.05" customHeight="1" x14ac:dyDescent="0.3">
      <c r="A3485" s="2" t="s">
        <v>432</v>
      </c>
      <c r="B3485" s="2" t="s">
        <v>1054</v>
      </c>
      <c r="C3485" s="5" t="s">
        <v>5526</v>
      </c>
      <c r="D3485" s="2" t="s">
        <v>5527</v>
      </c>
    </row>
    <row r="3486" spans="1:4" ht="13.05" customHeight="1" x14ac:dyDescent="0.3">
      <c r="A3486" s="2" t="s">
        <v>432</v>
      </c>
      <c r="B3486" s="2" t="s">
        <v>1054</v>
      </c>
      <c r="C3486" s="5" t="s">
        <v>5528</v>
      </c>
      <c r="D3486" s="2" t="s">
        <v>5529</v>
      </c>
    </row>
    <row r="3487" spans="1:4" ht="13.05" customHeight="1" x14ac:dyDescent="0.3">
      <c r="A3487" s="2" t="s">
        <v>432</v>
      </c>
      <c r="B3487" s="2" t="s">
        <v>1054</v>
      </c>
      <c r="C3487" s="5" t="s">
        <v>5530</v>
      </c>
      <c r="D3487" s="2" t="s">
        <v>5531</v>
      </c>
    </row>
    <row r="3488" spans="1:4" ht="13.05" customHeight="1" x14ac:dyDescent="0.3">
      <c r="A3488" s="2" t="s">
        <v>432</v>
      </c>
      <c r="B3488" s="2" t="s">
        <v>1054</v>
      </c>
      <c r="C3488" s="5" t="s">
        <v>5532</v>
      </c>
      <c r="D3488" s="2" t="s">
        <v>5533</v>
      </c>
    </row>
    <row r="3489" spans="1:4" ht="13.05" customHeight="1" x14ac:dyDescent="0.3">
      <c r="A3489" s="2" t="s">
        <v>432</v>
      </c>
      <c r="B3489" s="2" t="s">
        <v>1054</v>
      </c>
      <c r="C3489" s="5" t="s">
        <v>5534</v>
      </c>
      <c r="D3489" s="2" t="s">
        <v>5314</v>
      </c>
    </row>
    <row r="3490" spans="1:4" ht="13.05" customHeight="1" x14ac:dyDescent="0.3">
      <c r="A3490" s="2" t="s">
        <v>432</v>
      </c>
      <c r="B3490" s="2" t="s">
        <v>1054</v>
      </c>
      <c r="C3490" s="5" t="s">
        <v>5535</v>
      </c>
      <c r="D3490" s="2" t="s">
        <v>3367</v>
      </c>
    </row>
    <row r="3491" spans="1:4" ht="13.05" customHeight="1" x14ac:dyDescent="0.3">
      <c r="A3491" s="2" t="s">
        <v>432</v>
      </c>
      <c r="B3491" s="2" t="s">
        <v>1054</v>
      </c>
      <c r="C3491" s="5" t="s">
        <v>5536</v>
      </c>
      <c r="D3491" s="2" t="s">
        <v>5537</v>
      </c>
    </row>
    <row r="3492" spans="1:4" ht="13.05" customHeight="1" x14ac:dyDescent="0.3">
      <c r="A3492" s="2" t="s">
        <v>432</v>
      </c>
      <c r="B3492" s="2" t="s">
        <v>1054</v>
      </c>
      <c r="C3492" s="5" t="s">
        <v>5538</v>
      </c>
      <c r="D3492" s="2" t="s">
        <v>5539</v>
      </c>
    </row>
    <row r="3493" spans="1:4" ht="13.05" customHeight="1" x14ac:dyDescent="0.3">
      <c r="A3493" s="2" t="s">
        <v>432</v>
      </c>
      <c r="B3493" s="2" t="s">
        <v>1054</v>
      </c>
      <c r="C3493" s="5" t="s">
        <v>5540</v>
      </c>
      <c r="D3493" s="2" t="s">
        <v>5541</v>
      </c>
    </row>
    <row r="3494" spans="1:4" ht="13.05" customHeight="1" x14ac:dyDescent="0.3">
      <c r="A3494" s="2" t="s">
        <v>432</v>
      </c>
      <c r="B3494" s="2" t="s">
        <v>1054</v>
      </c>
      <c r="C3494" s="5" t="s">
        <v>5542</v>
      </c>
      <c r="D3494" s="2" t="s">
        <v>5543</v>
      </c>
    </row>
    <row r="3495" spans="1:4" ht="13.05" customHeight="1" x14ac:dyDescent="0.3">
      <c r="A3495" s="2" t="s">
        <v>432</v>
      </c>
      <c r="B3495" s="2" t="s">
        <v>1054</v>
      </c>
      <c r="C3495" s="5" t="s">
        <v>5544</v>
      </c>
      <c r="D3495" s="2" t="s">
        <v>5545</v>
      </c>
    </row>
    <row r="3496" spans="1:4" ht="13.05" customHeight="1" x14ac:dyDescent="0.3">
      <c r="A3496" s="2" t="s">
        <v>432</v>
      </c>
      <c r="B3496" s="2" t="s">
        <v>1054</v>
      </c>
      <c r="C3496" s="5" t="s">
        <v>5546</v>
      </c>
      <c r="D3496" s="2" t="s">
        <v>5547</v>
      </c>
    </row>
    <row r="3497" spans="1:4" ht="13.05" customHeight="1" x14ac:dyDescent="0.3">
      <c r="A3497" s="2" t="s">
        <v>432</v>
      </c>
      <c r="B3497" s="2" t="s">
        <v>1054</v>
      </c>
      <c r="C3497" s="5" t="s">
        <v>5548</v>
      </c>
      <c r="D3497" s="2" t="s">
        <v>5549</v>
      </c>
    </row>
    <row r="3498" spans="1:4" ht="13.05" customHeight="1" x14ac:dyDescent="0.3">
      <c r="A3498" s="2" t="s">
        <v>432</v>
      </c>
      <c r="B3498" s="2" t="s">
        <v>1054</v>
      </c>
      <c r="C3498" s="5" t="s">
        <v>5550</v>
      </c>
      <c r="D3498" s="2" t="s">
        <v>5551</v>
      </c>
    </row>
    <row r="3499" spans="1:4" ht="13.05" customHeight="1" x14ac:dyDescent="0.3">
      <c r="A3499" s="2" t="s">
        <v>432</v>
      </c>
      <c r="B3499" s="2" t="s">
        <v>1054</v>
      </c>
      <c r="C3499" s="5" t="s">
        <v>5552</v>
      </c>
      <c r="D3499" s="2" t="s">
        <v>5553</v>
      </c>
    </row>
    <row r="3500" spans="1:4" ht="13.05" customHeight="1" x14ac:dyDescent="0.3">
      <c r="A3500" s="2" t="s">
        <v>432</v>
      </c>
      <c r="B3500" s="2" t="s">
        <v>1054</v>
      </c>
      <c r="C3500" s="5" t="s">
        <v>5554</v>
      </c>
      <c r="D3500" s="2" t="s">
        <v>5555</v>
      </c>
    </row>
    <row r="3501" spans="1:4" ht="13.05" customHeight="1" x14ac:dyDescent="0.3">
      <c r="A3501" s="2" t="s">
        <v>432</v>
      </c>
      <c r="B3501" s="2" t="s">
        <v>1054</v>
      </c>
      <c r="C3501" s="5" t="s">
        <v>5556</v>
      </c>
      <c r="D3501" s="2" t="s">
        <v>3445</v>
      </c>
    </row>
    <row r="3502" spans="1:4" ht="13.05" customHeight="1" x14ac:dyDescent="0.3">
      <c r="A3502" s="2" t="s">
        <v>432</v>
      </c>
      <c r="B3502" s="2" t="s">
        <v>1054</v>
      </c>
      <c r="C3502" s="5" t="s">
        <v>5557</v>
      </c>
      <c r="D3502" s="2" t="s">
        <v>3447</v>
      </c>
    </row>
    <row r="3503" spans="1:4" ht="13.05" customHeight="1" x14ac:dyDescent="0.3">
      <c r="A3503" s="2" t="s">
        <v>432</v>
      </c>
      <c r="B3503" s="2" t="s">
        <v>1054</v>
      </c>
      <c r="C3503" s="5" t="s">
        <v>5558</v>
      </c>
      <c r="D3503" s="2" t="s">
        <v>5559</v>
      </c>
    </row>
    <row r="3504" spans="1:4" ht="13.05" customHeight="1" x14ac:dyDescent="0.3">
      <c r="A3504" s="2" t="s">
        <v>432</v>
      </c>
      <c r="B3504" s="2" t="s">
        <v>1054</v>
      </c>
      <c r="C3504" s="5" t="s">
        <v>5560</v>
      </c>
      <c r="D3504" s="2" t="s">
        <v>5561</v>
      </c>
    </row>
    <row r="3505" spans="1:4" ht="13.05" customHeight="1" x14ac:dyDescent="0.3">
      <c r="A3505" s="2" t="s">
        <v>432</v>
      </c>
      <c r="B3505" s="2" t="s">
        <v>1054</v>
      </c>
      <c r="C3505" s="5" t="s">
        <v>5562</v>
      </c>
      <c r="D3505" s="2" t="s">
        <v>5563</v>
      </c>
    </row>
    <row r="3506" spans="1:4" ht="13.05" customHeight="1" x14ac:dyDescent="0.3">
      <c r="A3506" s="2" t="s">
        <v>432</v>
      </c>
      <c r="B3506" s="2" t="s">
        <v>1054</v>
      </c>
      <c r="C3506" s="5" t="s">
        <v>5564</v>
      </c>
      <c r="D3506" s="2" t="s">
        <v>5565</v>
      </c>
    </row>
    <row r="3507" spans="1:4" ht="13.05" customHeight="1" x14ac:dyDescent="0.3">
      <c r="A3507" s="2" t="s">
        <v>432</v>
      </c>
      <c r="B3507" s="2" t="s">
        <v>1054</v>
      </c>
      <c r="C3507" s="5" t="s">
        <v>5566</v>
      </c>
      <c r="D3507" s="2" t="s">
        <v>3365</v>
      </c>
    </row>
    <row r="3508" spans="1:4" ht="13.05" customHeight="1" x14ac:dyDescent="0.3">
      <c r="A3508" s="2" t="s">
        <v>432</v>
      </c>
      <c r="B3508" s="2" t="s">
        <v>1054</v>
      </c>
      <c r="C3508" s="5" t="s">
        <v>5567</v>
      </c>
      <c r="D3508" s="2" t="s">
        <v>3367</v>
      </c>
    </row>
    <row r="3509" spans="1:4" ht="13.05" customHeight="1" x14ac:dyDescent="0.3">
      <c r="A3509" s="2" t="s">
        <v>432</v>
      </c>
      <c r="B3509" s="2" t="s">
        <v>1054</v>
      </c>
      <c r="C3509" s="5" t="s">
        <v>5568</v>
      </c>
      <c r="D3509" s="2" t="s">
        <v>5569</v>
      </c>
    </row>
    <row r="3510" spans="1:4" ht="13.05" customHeight="1" x14ac:dyDescent="0.3">
      <c r="A3510" s="2" t="s">
        <v>432</v>
      </c>
      <c r="B3510" s="2" t="s">
        <v>1054</v>
      </c>
      <c r="C3510" s="5" t="s">
        <v>5570</v>
      </c>
      <c r="D3510" s="2" t="s">
        <v>5571</v>
      </c>
    </row>
    <row r="3511" spans="1:4" ht="13.05" customHeight="1" x14ac:dyDescent="0.3">
      <c r="A3511" s="2" t="s">
        <v>432</v>
      </c>
      <c r="B3511" s="2" t="s">
        <v>1054</v>
      </c>
      <c r="C3511" s="5" t="s">
        <v>5572</v>
      </c>
      <c r="D3511" s="2" t="s">
        <v>5573</v>
      </c>
    </row>
    <row r="3512" spans="1:4" ht="13.05" customHeight="1" x14ac:dyDescent="0.3">
      <c r="A3512" s="2" t="s">
        <v>432</v>
      </c>
      <c r="B3512" s="2" t="s">
        <v>1054</v>
      </c>
      <c r="C3512" s="5" t="s">
        <v>5574</v>
      </c>
      <c r="D3512" s="2" t="s">
        <v>5575</v>
      </c>
    </row>
    <row r="3513" spans="1:4" ht="13.05" customHeight="1" x14ac:dyDescent="0.3">
      <c r="A3513" s="2" t="s">
        <v>432</v>
      </c>
      <c r="B3513" s="2" t="s">
        <v>1054</v>
      </c>
      <c r="C3513" s="5" t="s">
        <v>5576</v>
      </c>
      <c r="D3513" s="2" t="s">
        <v>3445</v>
      </c>
    </row>
    <row r="3514" spans="1:4" ht="13.05" customHeight="1" x14ac:dyDescent="0.3">
      <c r="A3514" s="2" t="s">
        <v>432</v>
      </c>
      <c r="B3514" s="2" t="s">
        <v>1054</v>
      </c>
      <c r="C3514" s="5" t="s">
        <v>5577</v>
      </c>
      <c r="D3514" s="2" t="s">
        <v>3447</v>
      </c>
    </row>
    <row r="3515" spans="1:4" ht="13.05" customHeight="1" x14ac:dyDescent="0.3">
      <c r="A3515" s="2" t="s">
        <v>432</v>
      </c>
      <c r="B3515" s="2" t="s">
        <v>1054</v>
      </c>
      <c r="C3515" s="5" t="s">
        <v>5578</v>
      </c>
      <c r="D3515" s="2" t="s">
        <v>5579</v>
      </c>
    </row>
    <row r="3516" spans="1:4" ht="13.05" customHeight="1" x14ac:dyDescent="0.3">
      <c r="A3516" s="2" t="s">
        <v>432</v>
      </c>
      <c r="B3516" s="2" t="s">
        <v>1054</v>
      </c>
      <c r="C3516" s="5" t="s">
        <v>5580</v>
      </c>
      <c r="D3516" s="2" t="s">
        <v>3333</v>
      </c>
    </row>
    <row r="3517" spans="1:4" ht="13.05" customHeight="1" x14ac:dyDescent="0.3">
      <c r="A3517" s="2" t="s">
        <v>432</v>
      </c>
      <c r="B3517" s="2" t="s">
        <v>1054</v>
      </c>
      <c r="C3517" s="5" t="s">
        <v>5581</v>
      </c>
      <c r="D3517" s="2" t="s">
        <v>3335</v>
      </c>
    </row>
    <row r="3518" spans="1:4" ht="13.05" customHeight="1" x14ac:dyDescent="0.3">
      <c r="A3518" s="2" t="s">
        <v>432</v>
      </c>
      <c r="B3518" s="2" t="s">
        <v>1054</v>
      </c>
      <c r="C3518" s="5" t="s">
        <v>5582</v>
      </c>
      <c r="D3518" s="2" t="s">
        <v>5583</v>
      </c>
    </row>
    <row r="3519" spans="1:4" ht="13.05" customHeight="1" x14ac:dyDescent="0.3">
      <c r="A3519" s="2" t="s">
        <v>432</v>
      </c>
      <c r="B3519" s="2" t="s">
        <v>1054</v>
      </c>
      <c r="C3519" s="5" t="s">
        <v>5584</v>
      </c>
      <c r="D3519" s="2" t="s">
        <v>5585</v>
      </c>
    </row>
    <row r="3520" spans="1:4" ht="13.05" customHeight="1" x14ac:dyDescent="0.3">
      <c r="A3520" s="2" t="s">
        <v>432</v>
      </c>
      <c r="B3520" s="2" t="s">
        <v>1054</v>
      </c>
      <c r="C3520" s="5" t="s">
        <v>5586</v>
      </c>
      <c r="D3520" s="2" t="s">
        <v>5587</v>
      </c>
    </row>
    <row r="3521" spans="1:4" ht="13.05" customHeight="1" x14ac:dyDescent="0.3">
      <c r="A3521" s="2" t="s">
        <v>432</v>
      </c>
      <c r="B3521" s="2" t="s">
        <v>1054</v>
      </c>
      <c r="C3521" s="5" t="s">
        <v>5588</v>
      </c>
      <c r="D3521" s="2" t="s">
        <v>5589</v>
      </c>
    </row>
    <row r="3522" spans="1:4" ht="13.05" customHeight="1" x14ac:dyDescent="0.3">
      <c r="A3522" s="2" t="s">
        <v>432</v>
      </c>
      <c r="B3522" s="2" t="s">
        <v>1054</v>
      </c>
      <c r="C3522" s="5" t="s">
        <v>5590</v>
      </c>
      <c r="D3522" s="2" t="s">
        <v>5591</v>
      </c>
    </row>
    <row r="3523" spans="1:4" ht="13.05" customHeight="1" x14ac:dyDescent="0.3">
      <c r="A3523" s="2" t="s">
        <v>432</v>
      </c>
      <c r="B3523" s="2" t="s">
        <v>1054</v>
      </c>
      <c r="C3523" s="5" t="s">
        <v>5592</v>
      </c>
      <c r="D3523" s="2" t="s">
        <v>3333</v>
      </c>
    </row>
    <row r="3524" spans="1:4" ht="13.05" customHeight="1" x14ac:dyDescent="0.3">
      <c r="A3524" s="2" t="s">
        <v>432</v>
      </c>
      <c r="B3524" s="2" t="s">
        <v>1054</v>
      </c>
      <c r="C3524" s="5" t="s">
        <v>5593</v>
      </c>
      <c r="D3524" s="2" t="s">
        <v>3335</v>
      </c>
    </row>
    <row r="3525" spans="1:4" ht="13.05" customHeight="1" x14ac:dyDescent="0.3">
      <c r="A3525" s="2" t="s">
        <v>432</v>
      </c>
      <c r="B3525" s="2" t="s">
        <v>1054</v>
      </c>
      <c r="C3525" s="5" t="s">
        <v>5594</v>
      </c>
      <c r="D3525" s="2" t="s">
        <v>5595</v>
      </c>
    </row>
    <row r="3526" spans="1:4" ht="13.05" customHeight="1" x14ac:dyDescent="0.3">
      <c r="A3526" s="2" t="s">
        <v>432</v>
      </c>
      <c r="B3526" s="2" t="s">
        <v>1054</v>
      </c>
      <c r="C3526" s="5" t="s">
        <v>5596</v>
      </c>
      <c r="D3526" s="2" t="s">
        <v>5597</v>
      </c>
    </row>
    <row r="3527" spans="1:4" ht="13.05" customHeight="1" x14ac:dyDescent="0.3">
      <c r="A3527" s="2" t="s">
        <v>432</v>
      </c>
      <c r="B3527" s="2" t="s">
        <v>1054</v>
      </c>
      <c r="C3527" s="5" t="s">
        <v>5598</v>
      </c>
      <c r="D3527" s="2" t="s">
        <v>5599</v>
      </c>
    </row>
    <row r="3528" spans="1:4" ht="13.05" customHeight="1" x14ac:dyDescent="0.3">
      <c r="A3528" s="2" t="s">
        <v>432</v>
      </c>
      <c r="B3528" s="2" t="s">
        <v>1054</v>
      </c>
      <c r="C3528" s="5" t="s">
        <v>5600</v>
      </c>
      <c r="D3528" s="2" t="s">
        <v>5601</v>
      </c>
    </row>
    <row r="3529" spans="1:4" ht="13.05" customHeight="1" x14ac:dyDescent="0.3">
      <c r="A3529" s="2" t="s">
        <v>432</v>
      </c>
      <c r="B3529" s="2" t="s">
        <v>1054</v>
      </c>
      <c r="C3529" s="5" t="s">
        <v>5602</v>
      </c>
      <c r="D3529" s="2" t="s">
        <v>5603</v>
      </c>
    </row>
    <row r="3530" spans="1:4" ht="13.05" customHeight="1" x14ac:dyDescent="0.3">
      <c r="A3530" s="2" t="s">
        <v>432</v>
      </c>
      <c r="B3530" s="2" t="s">
        <v>1054</v>
      </c>
      <c r="C3530" s="5" t="s">
        <v>5604</v>
      </c>
      <c r="D3530" s="2" t="s">
        <v>5605</v>
      </c>
    </row>
    <row r="3531" spans="1:4" ht="13.05" customHeight="1" x14ac:dyDescent="0.3">
      <c r="A3531" s="2" t="s">
        <v>432</v>
      </c>
      <c r="B3531" s="2" t="s">
        <v>1054</v>
      </c>
      <c r="C3531" s="5" t="s">
        <v>5606</v>
      </c>
      <c r="D3531" s="2" t="s">
        <v>5607</v>
      </c>
    </row>
    <row r="3532" spans="1:4" ht="13.05" customHeight="1" x14ac:dyDescent="0.3">
      <c r="A3532" s="2" t="s">
        <v>432</v>
      </c>
      <c r="B3532" s="2" t="s">
        <v>1054</v>
      </c>
      <c r="C3532" s="5" t="s">
        <v>5608</v>
      </c>
      <c r="D3532" s="2" t="s">
        <v>5609</v>
      </c>
    </row>
    <row r="3533" spans="1:4" ht="13.05" customHeight="1" x14ac:dyDescent="0.3">
      <c r="A3533" s="2" t="s">
        <v>432</v>
      </c>
      <c r="B3533" s="2" t="s">
        <v>1054</v>
      </c>
      <c r="C3533" s="5" t="s">
        <v>5610</v>
      </c>
      <c r="D3533" s="2" t="s">
        <v>5611</v>
      </c>
    </row>
    <row r="3534" spans="1:4" ht="13.05" customHeight="1" x14ac:dyDescent="0.3">
      <c r="A3534" s="2" t="s">
        <v>432</v>
      </c>
      <c r="B3534" s="2" t="s">
        <v>1054</v>
      </c>
      <c r="C3534" s="5" t="s">
        <v>5612</v>
      </c>
      <c r="D3534" s="2" t="s">
        <v>5613</v>
      </c>
    </row>
    <row r="3535" spans="1:4" ht="13.05" customHeight="1" x14ac:dyDescent="0.3">
      <c r="A3535" s="2" t="s">
        <v>432</v>
      </c>
      <c r="B3535" s="2" t="s">
        <v>1054</v>
      </c>
      <c r="C3535" s="5" t="s">
        <v>5614</v>
      </c>
      <c r="D3535" s="2" t="s">
        <v>5615</v>
      </c>
    </row>
    <row r="3536" spans="1:4" ht="13.05" customHeight="1" x14ac:dyDescent="0.3">
      <c r="A3536" s="2" t="s">
        <v>432</v>
      </c>
      <c r="B3536" s="2" t="s">
        <v>1054</v>
      </c>
      <c r="C3536" s="5" t="s">
        <v>5616</v>
      </c>
      <c r="D3536" s="2" t="s">
        <v>5617</v>
      </c>
    </row>
    <row r="3537" spans="1:4" ht="13.05" customHeight="1" x14ac:dyDescent="0.3">
      <c r="A3537" s="2" t="s">
        <v>432</v>
      </c>
      <c r="B3537" s="2" t="s">
        <v>1054</v>
      </c>
      <c r="C3537" s="5" t="s">
        <v>5618</v>
      </c>
      <c r="D3537" s="2" t="s">
        <v>5619</v>
      </c>
    </row>
    <row r="3538" spans="1:4" ht="13.05" customHeight="1" x14ac:dyDescent="0.3">
      <c r="A3538" s="2" t="s">
        <v>432</v>
      </c>
      <c r="B3538" s="2" t="s">
        <v>1054</v>
      </c>
      <c r="C3538" s="5" t="s">
        <v>5620</v>
      </c>
      <c r="D3538" s="2" t="s">
        <v>5621</v>
      </c>
    </row>
    <row r="3539" spans="1:4" ht="13.05" customHeight="1" x14ac:dyDescent="0.3">
      <c r="A3539" s="2" t="s">
        <v>432</v>
      </c>
      <c r="B3539" s="2" t="s">
        <v>1054</v>
      </c>
      <c r="C3539" s="5" t="s">
        <v>5622</v>
      </c>
      <c r="D3539" s="2" t="s">
        <v>5623</v>
      </c>
    </row>
    <row r="3540" spans="1:4" ht="13.05" customHeight="1" x14ac:dyDescent="0.3">
      <c r="A3540" s="2" t="s">
        <v>432</v>
      </c>
      <c r="B3540" s="2" t="s">
        <v>1054</v>
      </c>
      <c r="C3540" s="5" t="s">
        <v>5624</v>
      </c>
      <c r="D3540" s="2" t="s">
        <v>5625</v>
      </c>
    </row>
    <row r="3541" spans="1:4" ht="13.05" customHeight="1" x14ac:dyDescent="0.3">
      <c r="A3541" s="2" t="s">
        <v>432</v>
      </c>
      <c r="B3541" s="2" t="s">
        <v>1054</v>
      </c>
      <c r="C3541" s="5" t="s">
        <v>5626</v>
      </c>
      <c r="D3541" s="2" t="s">
        <v>5627</v>
      </c>
    </row>
    <row r="3542" spans="1:4" ht="13.05" customHeight="1" x14ac:dyDescent="0.3">
      <c r="A3542" s="2" t="s">
        <v>432</v>
      </c>
      <c r="B3542" s="2" t="s">
        <v>1054</v>
      </c>
      <c r="C3542" s="5" t="s">
        <v>5628</v>
      </c>
      <c r="D3542" s="2" t="s">
        <v>5629</v>
      </c>
    </row>
    <row r="3543" spans="1:4" ht="13.05" customHeight="1" x14ac:dyDescent="0.3">
      <c r="A3543" s="2" t="s">
        <v>432</v>
      </c>
      <c r="B3543" s="2" t="s">
        <v>1054</v>
      </c>
      <c r="C3543" s="5" t="s">
        <v>5630</v>
      </c>
      <c r="D3543" s="2" t="s">
        <v>5631</v>
      </c>
    </row>
    <row r="3544" spans="1:4" ht="13.05" customHeight="1" x14ac:dyDescent="0.3">
      <c r="A3544" s="2" t="s">
        <v>432</v>
      </c>
      <c r="B3544" s="2" t="s">
        <v>1054</v>
      </c>
      <c r="C3544" s="5" t="s">
        <v>5632</v>
      </c>
      <c r="D3544" s="2" t="s">
        <v>5633</v>
      </c>
    </row>
    <row r="3545" spans="1:4" ht="13.05" customHeight="1" x14ac:dyDescent="0.3">
      <c r="A3545" s="2" t="s">
        <v>432</v>
      </c>
      <c r="B3545" s="2" t="s">
        <v>1054</v>
      </c>
      <c r="C3545" s="5" t="s">
        <v>5634</v>
      </c>
      <c r="D3545" s="2" t="s">
        <v>5635</v>
      </c>
    </row>
    <row r="3546" spans="1:4" ht="13.05" customHeight="1" x14ac:dyDescent="0.3">
      <c r="A3546" s="2" t="s">
        <v>432</v>
      </c>
      <c r="B3546" s="2" t="s">
        <v>1054</v>
      </c>
      <c r="C3546" s="5" t="s">
        <v>5636</v>
      </c>
      <c r="D3546" s="2" t="s">
        <v>5637</v>
      </c>
    </row>
    <row r="3547" spans="1:4" ht="13.05" customHeight="1" x14ac:dyDescent="0.3">
      <c r="A3547" s="2" t="s">
        <v>432</v>
      </c>
      <c r="B3547" s="2" t="s">
        <v>1054</v>
      </c>
      <c r="C3547" s="5" t="s">
        <v>5638</v>
      </c>
      <c r="D3547" s="2" t="s">
        <v>5639</v>
      </c>
    </row>
    <row r="3548" spans="1:4" ht="13.05" customHeight="1" x14ac:dyDescent="0.3">
      <c r="A3548" s="2" t="s">
        <v>432</v>
      </c>
      <c r="B3548" s="2" t="s">
        <v>1054</v>
      </c>
      <c r="C3548" s="5" t="s">
        <v>5640</v>
      </c>
      <c r="D3548" s="2" t="s">
        <v>5641</v>
      </c>
    </row>
    <row r="3549" spans="1:4" ht="13.05" customHeight="1" x14ac:dyDescent="0.3">
      <c r="A3549" s="2" t="s">
        <v>432</v>
      </c>
      <c r="B3549" s="2" t="s">
        <v>1054</v>
      </c>
      <c r="C3549" s="5" t="s">
        <v>5642</v>
      </c>
      <c r="D3549" s="2" t="s">
        <v>5643</v>
      </c>
    </row>
    <row r="3550" spans="1:4" ht="13.05" customHeight="1" x14ac:dyDescent="0.3">
      <c r="A3550" s="2" t="s">
        <v>432</v>
      </c>
      <c r="B3550" s="2" t="s">
        <v>1054</v>
      </c>
      <c r="C3550" s="5" t="s">
        <v>5644</v>
      </c>
      <c r="D3550" s="2" t="s">
        <v>5645</v>
      </c>
    </row>
    <row r="3551" spans="1:4" ht="13.05" customHeight="1" x14ac:dyDescent="0.3">
      <c r="A3551" s="2" t="s">
        <v>432</v>
      </c>
      <c r="B3551" s="2" t="s">
        <v>1054</v>
      </c>
      <c r="C3551" s="5" t="s">
        <v>5646</v>
      </c>
      <c r="D3551" s="2" t="s">
        <v>5647</v>
      </c>
    </row>
    <row r="3552" spans="1:4" ht="13.05" customHeight="1" x14ac:dyDescent="0.3">
      <c r="A3552" s="2" t="s">
        <v>432</v>
      </c>
      <c r="B3552" s="2" t="s">
        <v>1054</v>
      </c>
      <c r="C3552" s="5" t="s">
        <v>5648</v>
      </c>
      <c r="D3552" s="2" t="s">
        <v>5649</v>
      </c>
    </row>
    <row r="3553" spans="1:4" ht="13.05" customHeight="1" x14ac:dyDescent="0.3">
      <c r="A3553" s="2" t="s">
        <v>432</v>
      </c>
      <c r="B3553" s="2" t="s">
        <v>1054</v>
      </c>
      <c r="C3553" s="5" t="s">
        <v>5650</v>
      </c>
      <c r="D3553" s="2" t="s">
        <v>5651</v>
      </c>
    </row>
    <row r="3554" spans="1:4" ht="13.05" customHeight="1" x14ac:dyDescent="0.3">
      <c r="A3554" s="2" t="s">
        <v>432</v>
      </c>
      <c r="B3554" s="2" t="s">
        <v>1054</v>
      </c>
      <c r="C3554" s="5" t="s">
        <v>5652</v>
      </c>
      <c r="D3554" s="2" t="s">
        <v>5653</v>
      </c>
    </row>
    <row r="3555" spans="1:4" ht="13.05" customHeight="1" x14ac:dyDescent="0.3">
      <c r="A3555" s="2" t="s">
        <v>432</v>
      </c>
      <c r="B3555" s="2" t="s">
        <v>1054</v>
      </c>
      <c r="C3555" s="5" t="s">
        <v>5654</v>
      </c>
      <c r="D3555" s="2" t="s">
        <v>5156</v>
      </c>
    </row>
    <row r="3556" spans="1:4" ht="13.05" customHeight="1" x14ac:dyDescent="0.3">
      <c r="A3556" s="2" t="s">
        <v>432</v>
      </c>
      <c r="B3556" s="2" t="s">
        <v>1054</v>
      </c>
      <c r="C3556" s="5" t="s">
        <v>5655</v>
      </c>
      <c r="D3556" s="2" t="s">
        <v>4938</v>
      </c>
    </row>
    <row r="3557" spans="1:4" ht="13.05" customHeight="1" x14ac:dyDescent="0.3">
      <c r="A3557" s="2" t="s">
        <v>432</v>
      </c>
      <c r="B3557" s="2" t="s">
        <v>1054</v>
      </c>
      <c r="C3557" s="5" t="s">
        <v>5656</v>
      </c>
      <c r="D3557" s="2" t="s">
        <v>4500</v>
      </c>
    </row>
    <row r="3558" spans="1:4" ht="13.05" customHeight="1" x14ac:dyDescent="0.3">
      <c r="A3558" s="2" t="s">
        <v>432</v>
      </c>
      <c r="B3558" s="2" t="s">
        <v>1054</v>
      </c>
      <c r="C3558" s="5" t="s">
        <v>5657</v>
      </c>
      <c r="D3558" s="2" t="s">
        <v>5160</v>
      </c>
    </row>
    <row r="3559" spans="1:4" ht="13.05" customHeight="1" x14ac:dyDescent="0.3">
      <c r="A3559" s="2" t="s">
        <v>432</v>
      </c>
      <c r="B3559" s="2" t="s">
        <v>1054</v>
      </c>
      <c r="C3559" s="5" t="s">
        <v>5658</v>
      </c>
      <c r="D3559" s="2" t="s">
        <v>4502</v>
      </c>
    </row>
    <row r="3560" spans="1:4" ht="13.05" customHeight="1" x14ac:dyDescent="0.3">
      <c r="A3560" s="2" t="s">
        <v>432</v>
      </c>
      <c r="B3560" s="2" t="s">
        <v>1054</v>
      </c>
      <c r="C3560" s="5" t="s">
        <v>5659</v>
      </c>
      <c r="D3560" s="2" t="s">
        <v>5163</v>
      </c>
    </row>
    <row r="3561" spans="1:4" ht="13.05" customHeight="1" x14ac:dyDescent="0.3">
      <c r="A3561" s="2" t="s">
        <v>432</v>
      </c>
      <c r="B3561" s="2" t="s">
        <v>1054</v>
      </c>
      <c r="C3561" s="5" t="s">
        <v>5660</v>
      </c>
      <c r="D3561" s="2" t="s">
        <v>4940</v>
      </c>
    </row>
    <row r="3562" spans="1:4" ht="13.05" customHeight="1" x14ac:dyDescent="0.3">
      <c r="A3562" s="2" t="s">
        <v>432</v>
      </c>
      <c r="B3562" s="2" t="s">
        <v>1054</v>
      </c>
      <c r="C3562" s="5" t="s">
        <v>5661</v>
      </c>
      <c r="D3562" s="2" t="s">
        <v>5156</v>
      </c>
    </row>
    <row r="3563" spans="1:4" ht="13.05" customHeight="1" x14ac:dyDescent="0.3">
      <c r="A3563" s="2" t="s">
        <v>432</v>
      </c>
      <c r="B3563" s="2" t="s">
        <v>1054</v>
      </c>
      <c r="C3563" s="5" t="s">
        <v>5662</v>
      </c>
      <c r="D3563" s="2" t="s">
        <v>4938</v>
      </c>
    </row>
    <row r="3564" spans="1:4" ht="13.05" customHeight="1" x14ac:dyDescent="0.3">
      <c r="A3564" s="2" t="s">
        <v>432</v>
      </c>
      <c r="B3564" s="2" t="s">
        <v>1054</v>
      </c>
      <c r="C3564" s="5" t="s">
        <v>5663</v>
      </c>
      <c r="D3564" s="2" t="s">
        <v>4500</v>
      </c>
    </row>
    <row r="3565" spans="1:4" ht="13.05" customHeight="1" x14ac:dyDescent="0.3">
      <c r="A3565" s="2" t="s">
        <v>432</v>
      </c>
      <c r="B3565" s="2" t="s">
        <v>1054</v>
      </c>
      <c r="C3565" s="5" t="s">
        <v>5664</v>
      </c>
      <c r="D3565" s="2" t="s">
        <v>5160</v>
      </c>
    </row>
    <row r="3566" spans="1:4" ht="13.05" customHeight="1" x14ac:dyDescent="0.3">
      <c r="A3566" s="2" t="s">
        <v>432</v>
      </c>
      <c r="B3566" s="2" t="s">
        <v>1054</v>
      </c>
      <c r="C3566" s="5" t="s">
        <v>5665</v>
      </c>
      <c r="D3566" s="2" t="s">
        <v>4502</v>
      </c>
    </row>
    <row r="3567" spans="1:4" ht="13.05" customHeight="1" x14ac:dyDescent="0.3">
      <c r="A3567" s="2" t="s">
        <v>432</v>
      </c>
      <c r="B3567" s="2" t="s">
        <v>1054</v>
      </c>
      <c r="C3567" s="5" t="s">
        <v>5666</v>
      </c>
      <c r="D3567" s="2" t="s">
        <v>5163</v>
      </c>
    </row>
    <row r="3568" spans="1:4" ht="13.05" customHeight="1" x14ac:dyDescent="0.3">
      <c r="A3568" s="2" t="s">
        <v>432</v>
      </c>
      <c r="B3568" s="2" t="s">
        <v>1054</v>
      </c>
      <c r="C3568" s="5" t="s">
        <v>5667</v>
      </c>
      <c r="D3568" s="2" t="s">
        <v>4506</v>
      </c>
    </row>
    <row r="3569" spans="1:4" ht="13.05" customHeight="1" x14ac:dyDescent="0.3">
      <c r="A3569" s="2" t="s">
        <v>432</v>
      </c>
      <c r="B3569" s="2" t="s">
        <v>1054</v>
      </c>
      <c r="C3569" s="5" t="s">
        <v>5668</v>
      </c>
      <c r="D3569" s="2" t="s">
        <v>5156</v>
      </c>
    </row>
    <row r="3570" spans="1:4" ht="13.05" customHeight="1" x14ac:dyDescent="0.3">
      <c r="A3570" s="2" t="s">
        <v>432</v>
      </c>
      <c r="B3570" s="2" t="s">
        <v>1054</v>
      </c>
      <c r="C3570" s="5" t="s">
        <v>5669</v>
      </c>
      <c r="D3570" s="2" t="s">
        <v>4938</v>
      </c>
    </row>
    <row r="3571" spans="1:4" ht="13.05" customHeight="1" x14ac:dyDescent="0.3">
      <c r="A3571" s="2" t="s">
        <v>432</v>
      </c>
      <c r="B3571" s="2" t="s">
        <v>1054</v>
      </c>
      <c r="C3571" s="5" t="s">
        <v>5670</v>
      </c>
      <c r="D3571" s="2" t="s">
        <v>4500</v>
      </c>
    </row>
    <row r="3572" spans="1:4" ht="13.05" customHeight="1" x14ac:dyDescent="0.3">
      <c r="A3572" s="2" t="s">
        <v>432</v>
      </c>
      <c r="B3572" s="2" t="s">
        <v>1054</v>
      </c>
      <c r="C3572" s="5" t="s">
        <v>5671</v>
      </c>
      <c r="D3572" s="2" t="s">
        <v>5160</v>
      </c>
    </row>
    <row r="3573" spans="1:4" ht="13.05" customHeight="1" x14ac:dyDescent="0.3">
      <c r="A3573" s="2" t="s">
        <v>432</v>
      </c>
      <c r="B3573" s="2" t="s">
        <v>1054</v>
      </c>
      <c r="C3573" s="5" t="s">
        <v>5672</v>
      </c>
      <c r="D3573" s="2" t="s">
        <v>4502</v>
      </c>
    </row>
    <row r="3574" spans="1:4" ht="13.05" customHeight="1" x14ac:dyDescent="0.3">
      <c r="A3574" s="2" t="s">
        <v>432</v>
      </c>
      <c r="B3574" s="2" t="s">
        <v>1054</v>
      </c>
      <c r="C3574" s="5" t="s">
        <v>5673</v>
      </c>
      <c r="D3574" s="2" t="s">
        <v>5163</v>
      </c>
    </row>
    <row r="3575" spans="1:4" ht="13.05" customHeight="1" x14ac:dyDescent="0.3">
      <c r="A3575" s="2" t="s">
        <v>432</v>
      </c>
      <c r="B3575" s="2" t="s">
        <v>1054</v>
      </c>
      <c r="C3575" s="5" t="s">
        <v>5674</v>
      </c>
      <c r="D3575" s="2" t="s">
        <v>4506</v>
      </c>
    </row>
    <row r="3576" spans="1:4" ht="13.05" customHeight="1" x14ac:dyDescent="0.3">
      <c r="A3576" s="2" t="s">
        <v>432</v>
      </c>
      <c r="B3576" s="2" t="s">
        <v>1054</v>
      </c>
      <c r="C3576" s="5" t="s">
        <v>5675</v>
      </c>
      <c r="D3576" s="2" t="s">
        <v>5317</v>
      </c>
    </row>
    <row r="3577" spans="1:4" ht="13.05" customHeight="1" x14ac:dyDescent="0.3">
      <c r="A3577" s="2" t="s">
        <v>432</v>
      </c>
      <c r="B3577" s="2" t="s">
        <v>1054</v>
      </c>
      <c r="C3577" s="5" t="s">
        <v>5676</v>
      </c>
      <c r="D3577" s="2" t="s">
        <v>5319</v>
      </c>
    </row>
    <row r="3578" spans="1:4" ht="13.05" customHeight="1" x14ac:dyDescent="0.3">
      <c r="A3578" s="2" t="s">
        <v>432</v>
      </c>
      <c r="B3578" s="2" t="s">
        <v>1054</v>
      </c>
      <c r="C3578" s="5" t="s">
        <v>5677</v>
      </c>
      <c r="D3578" s="2" t="s">
        <v>5321</v>
      </c>
    </row>
    <row r="3579" spans="1:4" ht="13.05" customHeight="1" x14ac:dyDescent="0.3">
      <c r="A3579" s="2" t="s">
        <v>432</v>
      </c>
      <c r="B3579" s="2" t="s">
        <v>1054</v>
      </c>
      <c r="C3579" s="5" t="s">
        <v>5678</v>
      </c>
      <c r="D3579" s="2" t="s">
        <v>5323</v>
      </c>
    </row>
    <row r="3580" spans="1:4" ht="13.05" customHeight="1" x14ac:dyDescent="0.3">
      <c r="A3580" s="2" t="s">
        <v>432</v>
      </c>
      <c r="B3580" s="2" t="s">
        <v>1054</v>
      </c>
      <c r="C3580" s="5" t="s">
        <v>5679</v>
      </c>
      <c r="D3580" s="2" t="s">
        <v>5325</v>
      </c>
    </row>
    <row r="3581" spans="1:4" ht="13.05" customHeight="1" x14ac:dyDescent="0.3">
      <c r="A3581" s="2" t="s">
        <v>432</v>
      </c>
      <c r="B3581" s="2" t="s">
        <v>1054</v>
      </c>
      <c r="C3581" s="5" t="s">
        <v>5680</v>
      </c>
      <c r="D3581" s="2" t="s">
        <v>5327</v>
      </c>
    </row>
    <row r="3582" spans="1:4" ht="13.05" customHeight="1" x14ac:dyDescent="0.3">
      <c r="A3582" s="2" t="s">
        <v>432</v>
      </c>
      <c r="B3582" s="2" t="s">
        <v>1054</v>
      </c>
      <c r="C3582" s="5" t="s">
        <v>5681</v>
      </c>
      <c r="D3582" s="2" t="s">
        <v>4506</v>
      </c>
    </row>
    <row r="3583" spans="1:4" ht="13.05" customHeight="1" x14ac:dyDescent="0.3">
      <c r="A3583" s="2" t="s">
        <v>432</v>
      </c>
      <c r="B3583" s="2" t="s">
        <v>1054</v>
      </c>
      <c r="C3583" s="5" t="s">
        <v>5682</v>
      </c>
      <c r="D3583" s="2" t="s">
        <v>5331</v>
      </c>
    </row>
    <row r="3584" spans="1:4" ht="13.05" customHeight="1" x14ac:dyDescent="0.3">
      <c r="A3584" s="2" t="s">
        <v>432</v>
      </c>
      <c r="B3584" s="2" t="s">
        <v>1054</v>
      </c>
      <c r="C3584" s="5" t="s">
        <v>5683</v>
      </c>
      <c r="D3584" s="2" t="s">
        <v>4674</v>
      </c>
    </row>
    <row r="3585" spans="1:4" ht="13.05" customHeight="1" x14ac:dyDescent="0.3">
      <c r="A3585" s="2" t="s">
        <v>432</v>
      </c>
      <c r="B3585" s="2" t="s">
        <v>1054</v>
      </c>
      <c r="C3585" s="5" t="s">
        <v>5684</v>
      </c>
      <c r="D3585" s="2" t="s">
        <v>4676</v>
      </c>
    </row>
    <row r="3586" spans="1:4" ht="13.05" customHeight="1" x14ac:dyDescent="0.3">
      <c r="A3586" s="2" t="s">
        <v>432</v>
      </c>
      <c r="B3586" s="2" t="s">
        <v>1054</v>
      </c>
      <c r="C3586" s="5" t="s">
        <v>5685</v>
      </c>
      <c r="D3586" s="2" t="s">
        <v>4678</v>
      </c>
    </row>
    <row r="3587" spans="1:4" ht="13.05" customHeight="1" x14ac:dyDescent="0.3">
      <c r="A3587" s="2" t="s">
        <v>432</v>
      </c>
      <c r="B3587" s="2" t="s">
        <v>1054</v>
      </c>
      <c r="C3587" s="5" t="s">
        <v>5686</v>
      </c>
      <c r="D3587" s="2" t="s">
        <v>4506</v>
      </c>
    </row>
    <row r="3588" spans="1:4" ht="13.05" customHeight="1" x14ac:dyDescent="0.3">
      <c r="A3588" s="2" t="s">
        <v>432</v>
      </c>
      <c r="B3588" s="2" t="s">
        <v>1054</v>
      </c>
      <c r="C3588" s="5" t="s">
        <v>5687</v>
      </c>
      <c r="D3588" s="2" t="s">
        <v>5688</v>
      </c>
    </row>
    <row r="3589" spans="1:4" ht="13.05" customHeight="1" x14ac:dyDescent="0.3">
      <c r="A3589" s="2" t="s">
        <v>432</v>
      </c>
      <c r="B3589" s="2" t="s">
        <v>1054</v>
      </c>
      <c r="C3589" s="5" t="s">
        <v>5689</v>
      </c>
      <c r="D3589" s="2" t="s">
        <v>5160</v>
      </c>
    </row>
    <row r="3590" spans="1:4" ht="13.05" customHeight="1" x14ac:dyDescent="0.3">
      <c r="A3590" s="2" t="s">
        <v>432</v>
      </c>
      <c r="B3590" s="2" t="s">
        <v>1054</v>
      </c>
      <c r="C3590" s="5" t="s">
        <v>5690</v>
      </c>
      <c r="D3590" s="2" t="s">
        <v>4502</v>
      </c>
    </row>
    <row r="3591" spans="1:4" ht="13.05" customHeight="1" x14ac:dyDescent="0.3">
      <c r="A3591" s="2" t="s">
        <v>432</v>
      </c>
      <c r="B3591" s="2" t="s">
        <v>1054</v>
      </c>
      <c r="C3591" s="5" t="s">
        <v>5691</v>
      </c>
      <c r="D3591" s="2" t="s">
        <v>5163</v>
      </c>
    </row>
    <row r="3592" spans="1:4" ht="13.05" customHeight="1" x14ac:dyDescent="0.3">
      <c r="A3592" s="2" t="s">
        <v>432</v>
      </c>
      <c r="B3592" s="2" t="s">
        <v>1054</v>
      </c>
      <c r="C3592" s="5" t="s">
        <v>5692</v>
      </c>
      <c r="D3592" s="2" t="s">
        <v>4506</v>
      </c>
    </row>
    <row r="3593" spans="1:4" ht="13.05" customHeight="1" x14ac:dyDescent="0.3">
      <c r="A3593" s="2" t="s">
        <v>432</v>
      </c>
      <c r="B3593" s="2" t="s">
        <v>1054</v>
      </c>
      <c r="C3593" s="5" t="s">
        <v>5693</v>
      </c>
      <c r="D3593" s="2" t="s">
        <v>5160</v>
      </c>
    </row>
    <row r="3594" spans="1:4" ht="13.05" customHeight="1" x14ac:dyDescent="0.3">
      <c r="A3594" s="2" t="s">
        <v>432</v>
      </c>
      <c r="B3594" s="2" t="s">
        <v>1054</v>
      </c>
      <c r="C3594" s="5" t="s">
        <v>5694</v>
      </c>
      <c r="D3594" s="2" t="s">
        <v>4502</v>
      </c>
    </row>
    <row r="3595" spans="1:4" ht="13.05" customHeight="1" x14ac:dyDescent="0.3">
      <c r="A3595" s="2" t="s">
        <v>432</v>
      </c>
      <c r="B3595" s="2" t="s">
        <v>1054</v>
      </c>
      <c r="C3595" s="5" t="s">
        <v>5695</v>
      </c>
      <c r="D3595" s="2" t="s">
        <v>5163</v>
      </c>
    </row>
    <row r="3596" spans="1:4" ht="13.05" customHeight="1" x14ac:dyDescent="0.3">
      <c r="A3596" s="2" t="s">
        <v>432</v>
      </c>
      <c r="B3596" s="2" t="s">
        <v>1054</v>
      </c>
      <c r="C3596" s="5" t="s">
        <v>5696</v>
      </c>
      <c r="D3596" s="2" t="s">
        <v>4940</v>
      </c>
    </row>
    <row r="3597" spans="1:4" ht="13.05" customHeight="1" x14ac:dyDescent="0.3">
      <c r="A3597" s="2" t="s">
        <v>432</v>
      </c>
      <c r="B3597" s="2" t="s">
        <v>1054</v>
      </c>
      <c r="C3597" s="5" t="s">
        <v>5697</v>
      </c>
      <c r="D3597" s="2" t="s">
        <v>5317</v>
      </c>
    </row>
    <row r="3598" spans="1:4" ht="13.05" customHeight="1" x14ac:dyDescent="0.3">
      <c r="A3598" s="2" t="s">
        <v>432</v>
      </c>
      <c r="B3598" s="2" t="s">
        <v>1054</v>
      </c>
      <c r="C3598" s="5" t="s">
        <v>5698</v>
      </c>
      <c r="D3598" s="2" t="s">
        <v>5319</v>
      </c>
    </row>
    <row r="3599" spans="1:4" ht="13.05" customHeight="1" x14ac:dyDescent="0.3">
      <c r="A3599" s="2" t="s">
        <v>432</v>
      </c>
      <c r="B3599" s="2" t="s">
        <v>1054</v>
      </c>
      <c r="C3599" s="5" t="s">
        <v>5699</v>
      </c>
      <c r="D3599" s="2" t="s">
        <v>5321</v>
      </c>
    </row>
    <row r="3600" spans="1:4" ht="13.05" customHeight="1" x14ac:dyDescent="0.3">
      <c r="A3600" s="2" t="s">
        <v>432</v>
      </c>
      <c r="B3600" s="2" t="s">
        <v>1054</v>
      </c>
      <c r="C3600" s="5" t="s">
        <v>5700</v>
      </c>
      <c r="D3600" s="2" t="s">
        <v>5323</v>
      </c>
    </row>
    <row r="3601" spans="1:4" ht="13.05" customHeight="1" x14ac:dyDescent="0.3">
      <c r="A3601" s="2" t="s">
        <v>432</v>
      </c>
      <c r="B3601" s="2" t="s">
        <v>1054</v>
      </c>
      <c r="C3601" s="5" t="s">
        <v>5701</v>
      </c>
      <c r="D3601" s="2" t="s">
        <v>5325</v>
      </c>
    </row>
    <row r="3602" spans="1:4" ht="13.05" customHeight="1" x14ac:dyDescent="0.3">
      <c r="A3602" s="2" t="s">
        <v>432</v>
      </c>
      <c r="B3602" s="2" t="s">
        <v>1054</v>
      </c>
      <c r="C3602" s="5" t="s">
        <v>5702</v>
      </c>
      <c r="D3602" s="2" t="s">
        <v>5327</v>
      </c>
    </row>
    <row r="3603" spans="1:4" ht="13.05" customHeight="1" x14ac:dyDescent="0.3">
      <c r="A3603" s="2" t="s">
        <v>432</v>
      </c>
      <c r="B3603" s="2" t="s">
        <v>1054</v>
      </c>
      <c r="C3603" s="5" t="s">
        <v>5703</v>
      </c>
      <c r="D3603" s="2" t="s">
        <v>4506</v>
      </c>
    </row>
    <row r="3604" spans="1:4" ht="13.05" customHeight="1" x14ac:dyDescent="0.3">
      <c r="A3604" s="2" t="s">
        <v>432</v>
      </c>
      <c r="B3604" s="2" t="s">
        <v>1054</v>
      </c>
      <c r="C3604" s="5" t="s">
        <v>5704</v>
      </c>
      <c r="D3604" s="2" t="s">
        <v>5331</v>
      </c>
    </row>
    <row r="3605" spans="1:4" ht="13.05" customHeight="1" x14ac:dyDescent="0.3">
      <c r="A3605" s="2" t="s">
        <v>432</v>
      </c>
      <c r="B3605" s="2" t="s">
        <v>1054</v>
      </c>
      <c r="C3605" s="5" t="s">
        <v>5705</v>
      </c>
      <c r="D3605" s="2" t="s">
        <v>4674</v>
      </c>
    </row>
    <row r="3606" spans="1:4" ht="13.05" customHeight="1" x14ac:dyDescent="0.3">
      <c r="A3606" s="2" t="s">
        <v>432</v>
      </c>
      <c r="B3606" s="2" t="s">
        <v>1054</v>
      </c>
      <c r="C3606" s="5" t="s">
        <v>5706</v>
      </c>
      <c r="D3606" s="2" t="s">
        <v>4676</v>
      </c>
    </row>
    <row r="3607" spans="1:4" ht="13.05" customHeight="1" x14ac:dyDescent="0.3">
      <c r="A3607" s="2" t="s">
        <v>432</v>
      </c>
      <c r="B3607" s="2" t="s">
        <v>1054</v>
      </c>
      <c r="C3607" s="5" t="s">
        <v>5707</v>
      </c>
      <c r="D3607" s="2" t="s">
        <v>4678</v>
      </c>
    </row>
    <row r="3608" spans="1:4" ht="13.05" customHeight="1" x14ac:dyDescent="0.3">
      <c r="A3608" s="2" t="s">
        <v>432</v>
      </c>
      <c r="B3608" s="2" t="s">
        <v>1054</v>
      </c>
      <c r="C3608" s="5" t="s">
        <v>5708</v>
      </c>
      <c r="D3608" s="2" t="s">
        <v>4506</v>
      </c>
    </row>
    <row r="3609" spans="1:4" ht="13.05" customHeight="1" x14ac:dyDescent="0.3">
      <c r="A3609" s="2" t="s">
        <v>432</v>
      </c>
      <c r="B3609" s="2" t="s">
        <v>1054</v>
      </c>
      <c r="C3609" s="5" t="s">
        <v>5709</v>
      </c>
      <c r="D3609" s="2" t="s">
        <v>5228</v>
      </c>
    </row>
    <row r="3610" spans="1:4" ht="13.05" customHeight="1" x14ac:dyDescent="0.3">
      <c r="A3610" s="2" t="s">
        <v>432</v>
      </c>
      <c r="B3610" s="2" t="s">
        <v>1054</v>
      </c>
      <c r="C3610" s="5" t="s">
        <v>5710</v>
      </c>
      <c r="D3610" s="2" t="s">
        <v>5163</v>
      </c>
    </row>
    <row r="3611" spans="1:4" ht="13.05" customHeight="1" x14ac:dyDescent="0.3">
      <c r="A3611" s="2" t="s">
        <v>432</v>
      </c>
      <c r="B3611" s="2" t="s">
        <v>1054</v>
      </c>
      <c r="C3611" s="5" t="s">
        <v>5711</v>
      </c>
      <c r="D3611" s="2" t="s">
        <v>4506</v>
      </c>
    </row>
    <row r="3612" spans="1:4" ht="13.05" customHeight="1" x14ac:dyDescent="0.3">
      <c r="A3612" s="2" t="s">
        <v>432</v>
      </c>
      <c r="B3612" s="2" t="s">
        <v>1054</v>
      </c>
      <c r="C3612" s="5" t="s">
        <v>5712</v>
      </c>
      <c r="D3612" s="2" t="s">
        <v>5228</v>
      </c>
    </row>
    <row r="3613" spans="1:4" ht="13.05" customHeight="1" x14ac:dyDescent="0.3">
      <c r="A3613" s="2" t="s">
        <v>432</v>
      </c>
      <c r="B3613" s="2" t="s">
        <v>1054</v>
      </c>
      <c r="C3613" s="5" t="s">
        <v>5713</v>
      </c>
      <c r="D3613" s="2" t="s">
        <v>3564</v>
      </c>
    </row>
    <row r="3614" spans="1:4" ht="13.05" customHeight="1" x14ac:dyDescent="0.3">
      <c r="A3614" s="2" t="s">
        <v>432</v>
      </c>
      <c r="B3614" s="2" t="s">
        <v>1054</v>
      </c>
      <c r="C3614" s="5" t="s">
        <v>5714</v>
      </c>
      <c r="D3614" s="2" t="s">
        <v>3570</v>
      </c>
    </row>
    <row r="3615" spans="1:4" ht="13.05" customHeight="1" x14ac:dyDescent="0.3">
      <c r="A3615" s="2" t="s">
        <v>432</v>
      </c>
      <c r="B3615" s="2" t="s">
        <v>1054</v>
      </c>
      <c r="C3615" s="5" t="s">
        <v>5715</v>
      </c>
      <c r="D3615" s="2" t="s">
        <v>3572</v>
      </c>
    </row>
    <row r="3616" spans="1:4" ht="13.05" customHeight="1" x14ac:dyDescent="0.3">
      <c r="A3616" s="2" t="s">
        <v>432</v>
      </c>
      <c r="B3616" s="2" t="s">
        <v>1054</v>
      </c>
      <c r="C3616" s="5" t="s">
        <v>5716</v>
      </c>
      <c r="D3616" s="2" t="s">
        <v>3574</v>
      </c>
    </row>
    <row r="3617" spans="1:4" ht="13.05" customHeight="1" x14ac:dyDescent="0.3">
      <c r="A3617" s="2" t="s">
        <v>432</v>
      </c>
      <c r="B3617" s="2" t="s">
        <v>1054</v>
      </c>
      <c r="C3617" s="5" t="s">
        <v>5717</v>
      </c>
      <c r="D3617" s="2" t="s">
        <v>3765</v>
      </c>
    </row>
    <row r="3618" spans="1:4" ht="13.05" customHeight="1" x14ac:dyDescent="0.3">
      <c r="A3618" s="2" t="s">
        <v>432</v>
      </c>
      <c r="B3618" s="2" t="s">
        <v>1054</v>
      </c>
      <c r="C3618" s="5" t="s">
        <v>5718</v>
      </c>
      <c r="D3618" s="2" t="s">
        <v>3578</v>
      </c>
    </row>
    <row r="3619" spans="1:4" ht="13.05" customHeight="1" x14ac:dyDescent="0.3">
      <c r="A3619" s="2" t="s">
        <v>432</v>
      </c>
      <c r="B3619" s="2" t="s">
        <v>1054</v>
      </c>
      <c r="C3619" s="5" t="s">
        <v>5719</v>
      </c>
      <c r="D3619" s="2" t="s">
        <v>3393</v>
      </c>
    </row>
    <row r="3620" spans="1:4" ht="13.05" customHeight="1" x14ac:dyDescent="0.3">
      <c r="A3620" s="2" t="s">
        <v>432</v>
      </c>
      <c r="B3620" s="2" t="s">
        <v>1054</v>
      </c>
      <c r="C3620" s="5" t="s">
        <v>5720</v>
      </c>
      <c r="D3620" s="2" t="s">
        <v>3581</v>
      </c>
    </row>
    <row r="3621" spans="1:4" ht="13.05" customHeight="1" x14ac:dyDescent="0.3">
      <c r="A3621" s="2" t="s">
        <v>432</v>
      </c>
      <c r="B3621" s="2" t="s">
        <v>1054</v>
      </c>
      <c r="C3621" s="5" t="s">
        <v>5721</v>
      </c>
      <c r="D3621" s="2" t="s">
        <v>4724</v>
      </c>
    </row>
    <row r="3622" spans="1:4" ht="13.05" customHeight="1" x14ac:dyDescent="0.3">
      <c r="A3622" s="2" t="s">
        <v>432</v>
      </c>
      <c r="B3622" s="2" t="s">
        <v>1054</v>
      </c>
      <c r="C3622" s="5" t="s">
        <v>5722</v>
      </c>
      <c r="D3622" s="2" t="s">
        <v>3395</v>
      </c>
    </row>
    <row r="3623" spans="1:4" ht="13.05" customHeight="1" x14ac:dyDescent="0.3">
      <c r="A3623" s="2" t="s">
        <v>432</v>
      </c>
      <c r="B3623" s="2" t="s">
        <v>1054</v>
      </c>
      <c r="C3623" s="5" t="s">
        <v>5723</v>
      </c>
      <c r="D3623" s="2" t="s">
        <v>3397</v>
      </c>
    </row>
    <row r="3624" spans="1:4" ht="13.05" customHeight="1" x14ac:dyDescent="0.3">
      <c r="A3624" s="2" t="s">
        <v>432</v>
      </c>
      <c r="B3624" s="2" t="s">
        <v>1054</v>
      </c>
      <c r="C3624" s="5" t="s">
        <v>5724</v>
      </c>
      <c r="D3624" s="2" t="s">
        <v>3584</v>
      </c>
    </row>
    <row r="3625" spans="1:4" ht="13.05" customHeight="1" x14ac:dyDescent="0.3">
      <c r="A3625" s="2" t="s">
        <v>432</v>
      </c>
      <c r="B3625" s="2" t="s">
        <v>1054</v>
      </c>
      <c r="C3625" s="5" t="s">
        <v>5725</v>
      </c>
      <c r="D3625" s="2" t="s">
        <v>3401</v>
      </c>
    </row>
    <row r="3626" spans="1:4" ht="13.05" customHeight="1" x14ac:dyDescent="0.3">
      <c r="A3626" s="2" t="s">
        <v>432</v>
      </c>
      <c r="B3626" s="2" t="s">
        <v>1054</v>
      </c>
      <c r="C3626" s="5" t="s">
        <v>5726</v>
      </c>
      <c r="D3626" s="2" t="s">
        <v>5727</v>
      </c>
    </row>
    <row r="3627" spans="1:4" ht="13.05" customHeight="1" x14ac:dyDescent="0.3">
      <c r="A3627" s="2" t="s">
        <v>432</v>
      </c>
      <c r="B3627" s="2" t="s">
        <v>1054</v>
      </c>
      <c r="C3627" s="5" t="s">
        <v>5728</v>
      </c>
      <c r="D3627" s="2" t="s">
        <v>3564</v>
      </c>
    </row>
    <row r="3628" spans="1:4" ht="13.05" customHeight="1" x14ac:dyDescent="0.3">
      <c r="A3628" s="2" t="s">
        <v>432</v>
      </c>
      <c r="B3628" s="2" t="s">
        <v>1054</v>
      </c>
      <c r="C3628" s="5" t="s">
        <v>5729</v>
      </c>
      <c r="D3628" s="2" t="s">
        <v>3570</v>
      </c>
    </row>
    <row r="3629" spans="1:4" ht="13.05" customHeight="1" x14ac:dyDescent="0.3">
      <c r="A3629" s="2" t="s">
        <v>432</v>
      </c>
      <c r="B3629" s="2" t="s">
        <v>1054</v>
      </c>
      <c r="C3629" s="5" t="s">
        <v>5730</v>
      </c>
      <c r="D3629" s="2" t="s">
        <v>3572</v>
      </c>
    </row>
    <row r="3630" spans="1:4" ht="13.05" customHeight="1" x14ac:dyDescent="0.3">
      <c r="A3630" s="2" t="s">
        <v>432</v>
      </c>
      <c r="B3630" s="2" t="s">
        <v>1054</v>
      </c>
      <c r="C3630" s="5" t="s">
        <v>5731</v>
      </c>
      <c r="D3630" s="2" t="s">
        <v>3574</v>
      </c>
    </row>
    <row r="3631" spans="1:4" ht="13.05" customHeight="1" x14ac:dyDescent="0.3">
      <c r="A3631" s="2" t="s">
        <v>432</v>
      </c>
      <c r="B3631" s="2" t="s">
        <v>1054</v>
      </c>
      <c r="C3631" s="5" t="s">
        <v>5732</v>
      </c>
      <c r="D3631" s="2" t="s">
        <v>3765</v>
      </c>
    </row>
    <row r="3632" spans="1:4" ht="13.05" customHeight="1" x14ac:dyDescent="0.3">
      <c r="A3632" s="2" t="s">
        <v>432</v>
      </c>
      <c r="B3632" s="2" t="s">
        <v>1054</v>
      </c>
      <c r="C3632" s="5" t="s">
        <v>5733</v>
      </c>
      <c r="D3632" s="2" t="s">
        <v>3578</v>
      </c>
    </row>
    <row r="3633" spans="1:4" ht="13.05" customHeight="1" x14ac:dyDescent="0.3">
      <c r="A3633" s="2" t="s">
        <v>432</v>
      </c>
      <c r="B3633" s="2" t="s">
        <v>1054</v>
      </c>
      <c r="C3633" s="5" t="s">
        <v>5734</v>
      </c>
      <c r="D3633" s="2" t="s">
        <v>3393</v>
      </c>
    </row>
    <row r="3634" spans="1:4" ht="13.05" customHeight="1" x14ac:dyDescent="0.3">
      <c r="A3634" s="2" t="s">
        <v>432</v>
      </c>
      <c r="B3634" s="2" t="s">
        <v>1054</v>
      </c>
      <c r="C3634" s="5" t="s">
        <v>5735</v>
      </c>
      <c r="D3634" s="2" t="s">
        <v>3581</v>
      </c>
    </row>
    <row r="3635" spans="1:4" ht="13.05" customHeight="1" x14ac:dyDescent="0.3">
      <c r="A3635" s="2" t="s">
        <v>432</v>
      </c>
      <c r="B3635" s="2" t="s">
        <v>1054</v>
      </c>
      <c r="C3635" s="5" t="s">
        <v>5736</v>
      </c>
      <c r="D3635" s="2" t="s">
        <v>4724</v>
      </c>
    </row>
    <row r="3636" spans="1:4" ht="13.05" customHeight="1" x14ac:dyDescent="0.3">
      <c r="A3636" s="2" t="s">
        <v>432</v>
      </c>
      <c r="B3636" s="2" t="s">
        <v>1054</v>
      </c>
      <c r="C3636" s="5" t="s">
        <v>5737</v>
      </c>
      <c r="D3636" s="2" t="s">
        <v>3395</v>
      </c>
    </row>
    <row r="3637" spans="1:4" ht="13.05" customHeight="1" x14ac:dyDescent="0.3">
      <c r="A3637" s="2" t="s">
        <v>432</v>
      </c>
      <c r="B3637" s="2" t="s">
        <v>1054</v>
      </c>
      <c r="C3637" s="5" t="s">
        <v>5738</v>
      </c>
      <c r="D3637" s="2" t="s">
        <v>3397</v>
      </c>
    </row>
    <row r="3638" spans="1:4" ht="13.05" customHeight="1" x14ac:dyDescent="0.3">
      <c r="A3638" s="2" t="s">
        <v>432</v>
      </c>
      <c r="B3638" s="2" t="s">
        <v>1054</v>
      </c>
      <c r="C3638" s="5" t="s">
        <v>5739</v>
      </c>
      <c r="D3638" s="2" t="s">
        <v>3584</v>
      </c>
    </row>
    <row r="3639" spans="1:4" ht="13.05" customHeight="1" x14ac:dyDescent="0.3">
      <c r="A3639" s="2" t="s">
        <v>432</v>
      </c>
      <c r="B3639" s="2" t="s">
        <v>1054</v>
      </c>
      <c r="C3639" s="5" t="s">
        <v>5740</v>
      </c>
      <c r="D3639" s="2" t="s">
        <v>3401</v>
      </c>
    </row>
    <row r="3640" spans="1:4" ht="13.05" customHeight="1" x14ac:dyDescent="0.3">
      <c r="A3640" s="2" t="s">
        <v>432</v>
      </c>
      <c r="B3640" s="2" t="s">
        <v>1054</v>
      </c>
      <c r="C3640" s="5" t="s">
        <v>5741</v>
      </c>
      <c r="D3640" s="2" t="s">
        <v>5742</v>
      </c>
    </row>
    <row r="3641" spans="1:4" ht="13.05" customHeight="1" x14ac:dyDescent="0.3">
      <c r="A3641" s="2" t="s">
        <v>432</v>
      </c>
      <c r="B3641" s="2" t="s">
        <v>1054</v>
      </c>
      <c r="C3641" s="5" t="s">
        <v>5743</v>
      </c>
      <c r="D3641" s="2" t="s">
        <v>5744</v>
      </c>
    </row>
    <row r="3642" spans="1:4" ht="13.05" customHeight="1" x14ac:dyDescent="0.3">
      <c r="A3642" s="2" t="s">
        <v>432</v>
      </c>
      <c r="B3642" s="2" t="s">
        <v>1054</v>
      </c>
      <c r="C3642" s="5" t="s">
        <v>5745</v>
      </c>
      <c r="D3642" s="2" t="s">
        <v>5746</v>
      </c>
    </row>
    <row r="3643" spans="1:4" ht="13.05" customHeight="1" x14ac:dyDescent="0.3">
      <c r="A3643" s="2" t="s">
        <v>432</v>
      </c>
      <c r="B3643" s="2" t="s">
        <v>1054</v>
      </c>
      <c r="C3643" s="5" t="s">
        <v>5747</v>
      </c>
      <c r="D3643" s="2" t="s">
        <v>3365</v>
      </c>
    </row>
    <row r="3644" spans="1:4" ht="13.05" customHeight="1" x14ac:dyDescent="0.3">
      <c r="A3644" s="2" t="s">
        <v>432</v>
      </c>
      <c r="B3644" s="2" t="s">
        <v>1054</v>
      </c>
      <c r="C3644" s="5" t="s">
        <v>5748</v>
      </c>
      <c r="D3644" s="2" t="s">
        <v>3367</v>
      </c>
    </row>
    <row r="3645" spans="1:4" ht="13.05" customHeight="1" x14ac:dyDescent="0.3">
      <c r="A3645" s="2" t="s">
        <v>432</v>
      </c>
      <c r="B3645" s="2" t="s">
        <v>1054</v>
      </c>
      <c r="C3645" s="5" t="s">
        <v>5749</v>
      </c>
      <c r="D3645" s="2" t="s">
        <v>3564</v>
      </c>
    </row>
    <row r="3646" spans="1:4" ht="13.05" customHeight="1" x14ac:dyDescent="0.3">
      <c r="A3646" s="2" t="s">
        <v>432</v>
      </c>
      <c r="B3646" s="2" t="s">
        <v>1054</v>
      </c>
      <c r="C3646" s="5" t="s">
        <v>5750</v>
      </c>
      <c r="D3646" s="2" t="s">
        <v>5751</v>
      </c>
    </row>
    <row r="3647" spans="1:4" ht="13.05" customHeight="1" x14ac:dyDescent="0.3">
      <c r="A3647" s="2" t="s">
        <v>432</v>
      </c>
      <c r="B3647" s="2" t="s">
        <v>1054</v>
      </c>
      <c r="C3647" s="5" t="s">
        <v>5752</v>
      </c>
      <c r="D3647" s="2" t="s">
        <v>3570</v>
      </c>
    </row>
    <row r="3648" spans="1:4" ht="13.05" customHeight="1" x14ac:dyDescent="0.3">
      <c r="A3648" s="2" t="s">
        <v>432</v>
      </c>
      <c r="B3648" s="2" t="s">
        <v>1054</v>
      </c>
      <c r="C3648" s="5" t="s">
        <v>5753</v>
      </c>
      <c r="D3648" s="2" t="s">
        <v>3572</v>
      </c>
    </row>
    <row r="3649" spans="1:4" ht="13.05" customHeight="1" x14ac:dyDescent="0.3">
      <c r="A3649" s="2" t="s">
        <v>432</v>
      </c>
      <c r="B3649" s="2" t="s">
        <v>1054</v>
      </c>
      <c r="C3649" s="5" t="s">
        <v>5754</v>
      </c>
      <c r="D3649" s="2" t="s">
        <v>3574</v>
      </c>
    </row>
    <row r="3650" spans="1:4" ht="13.05" customHeight="1" x14ac:dyDescent="0.3">
      <c r="A3650" s="2" t="s">
        <v>432</v>
      </c>
      <c r="B3650" s="2" t="s">
        <v>1054</v>
      </c>
      <c r="C3650" s="5" t="s">
        <v>5755</v>
      </c>
      <c r="D3650" s="2" t="s">
        <v>3765</v>
      </c>
    </row>
    <row r="3651" spans="1:4" ht="13.05" customHeight="1" x14ac:dyDescent="0.3">
      <c r="A3651" s="2" t="s">
        <v>432</v>
      </c>
      <c r="B3651" s="2" t="s">
        <v>1054</v>
      </c>
      <c r="C3651" s="5" t="s">
        <v>5756</v>
      </c>
      <c r="D3651" s="2" t="s">
        <v>3578</v>
      </c>
    </row>
    <row r="3652" spans="1:4" ht="13.05" customHeight="1" x14ac:dyDescent="0.3">
      <c r="A3652" s="2" t="s">
        <v>432</v>
      </c>
      <c r="B3652" s="2" t="s">
        <v>1054</v>
      </c>
      <c r="C3652" s="5" t="s">
        <v>5757</v>
      </c>
      <c r="D3652" s="2" t="s">
        <v>3393</v>
      </c>
    </row>
    <row r="3653" spans="1:4" ht="13.05" customHeight="1" x14ac:dyDescent="0.3">
      <c r="A3653" s="2" t="s">
        <v>432</v>
      </c>
      <c r="B3653" s="2" t="s">
        <v>1054</v>
      </c>
      <c r="C3653" s="5" t="s">
        <v>5758</v>
      </c>
      <c r="D3653" s="2" t="s">
        <v>3581</v>
      </c>
    </row>
    <row r="3654" spans="1:4" ht="13.05" customHeight="1" x14ac:dyDescent="0.3">
      <c r="A3654" s="2" t="s">
        <v>432</v>
      </c>
      <c r="B3654" s="2" t="s">
        <v>1054</v>
      </c>
      <c r="C3654" s="5" t="s">
        <v>5759</v>
      </c>
      <c r="D3654" s="2" t="s">
        <v>4724</v>
      </c>
    </row>
    <row r="3655" spans="1:4" ht="13.05" customHeight="1" x14ac:dyDescent="0.3">
      <c r="A3655" s="2" t="s">
        <v>432</v>
      </c>
      <c r="B3655" s="2" t="s">
        <v>1054</v>
      </c>
      <c r="C3655" s="5" t="s">
        <v>5760</v>
      </c>
      <c r="D3655" s="2" t="s">
        <v>3395</v>
      </c>
    </row>
    <row r="3656" spans="1:4" ht="13.05" customHeight="1" x14ac:dyDescent="0.3">
      <c r="A3656" s="2" t="s">
        <v>432</v>
      </c>
      <c r="B3656" s="2" t="s">
        <v>1054</v>
      </c>
      <c r="C3656" s="5" t="s">
        <v>5761</v>
      </c>
      <c r="D3656" s="2" t="s">
        <v>3770</v>
      </c>
    </row>
    <row r="3657" spans="1:4" ht="13.05" customHeight="1" x14ac:dyDescent="0.3">
      <c r="A3657" s="2" t="s">
        <v>432</v>
      </c>
      <c r="B3657" s="2" t="s">
        <v>1054</v>
      </c>
      <c r="C3657" s="5" t="s">
        <v>5762</v>
      </c>
      <c r="D3657" s="2" t="s">
        <v>3584</v>
      </c>
    </row>
    <row r="3658" spans="1:4" ht="13.05" customHeight="1" x14ac:dyDescent="0.3">
      <c r="A3658" s="2" t="s">
        <v>432</v>
      </c>
      <c r="B3658" s="2" t="s">
        <v>1054</v>
      </c>
      <c r="C3658" s="5" t="s">
        <v>5763</v>
      </c>
      <c r="D3658" s="2" t="s">
        <v>3586</v>
      </c>
    </row>
    <row r="3659" spans="1:4" ht="13.05" customHeight="1" x14ac:dyDescent="0.3">
      <c r="A3659" s="2" t="s">
        <v>432</v>
      </c>
      <c r="B3659" s="2" t="s">
        <v>1054</v>
      </c>
      <c r="C3659" s="5" t="s">
        <v>5764</v>
      </c>
      <c r="D3659" s="2" t="s">
        <v>5765</v>
      </c>
    </row>
    <row r="3660" spans="1:4" ht="13.05" customHeight="1" x14ac:dyDescent="0.3">
      <c r="A3660" s="2" t="s">
        <v>432</v>
      </c>
      <c r="B3660" s="2" t="s">
        <v>1054</v>
      </c>
      <c r="C3660" s="5" t="s">
        <v>5766</v>
      </c>
      <c r="D3660" s="2" t="s">
        <v>3564</v>
      </c>
    </row>
    <row r="3661" spans="1:4" ht="13.05" customHeight="1" x14ac:dyDescent="0.3">
      <c r="A3661" s="2" t="s">
        <v>432</v>
      </c>
      <c r="B3661" s="2" t="s">
        <v>1054</v>
      </c>
      <c r="C3661" s="5" t="s">
        <v>5767</v>
      </c>
      <c r="D3661" s="2" t="s">
        <v>3570</v>
      </c>
    </row>
    <row r="3662" spans="1:4" ht="13.05" customHeight="1" x14ac:dyDescent="0.3">
      <c r="A3662" s="2" t="s">
        <v>432</v>
      </c>
      <c r="B3662" s="2" t="s">
        <v>1054</v>
      </c>
      <c r="C3662" s="5" t="s">
        <v>5768</v>
      </c>
      <c r="D3662" s="2" t="s">
        <v>3572</v>
      </c>
    </row>
    <row r="3663" spans="1:4" ht="13.05" customHeight="1" x14ac:dyDescent="0.3">
      <c r="A3663" s="2" t="s">
        <v>432</v>
      </c>
      <c r="B3663" s="2" t="s">
        <v>1054</v>
      </c>
      <c r="C3663" s="5" t="s">
        <v>5769</v>
      </c>
      <c r="D3663" s="2" t="s">
        <v>3574</v>
      </c>
    </row>
    <row r="3664" spans="1:4" ht="13.05" customHeight="1" x14ac:dyDescent="0.3">
      <c r="A3664" s="2" t="s">
        <v>432</v>
      </c>
      <c r="B3664" s="2" t="s">
        <v>1054</v>
      </c>
      <c r="C3664" s="5" t="s">
        <v>5770</v>
      </c>
      <c r="D3664" s="2" t="s">
        <v>3765</v>
      </c>
    </row>
    <row r="3665" spans="1:4" ht="13.05" customHeight="1" x14ac:dyDescent="0.3">
      <c r="A3665" s="2" t="s">
        <v>432</v>
      </c>
      <c r="B3665" s="2" t="s">
        <v>1054</v>
      </c>
      <c r="C3665" s="5" t="s">
        <v>5771</v>
      </c>
      <c r="D3665" s="2" t="s">
        <v>3578</v>
      </c>
    </row>
    <row r="3666" spans="1:4" ht="13.05" customHeight="1" x14ac:dyDescent="0.3">
      <c r="A3666" s="2" t="s">
        <v>432</v>
      </c>
      <c r="B3666" s="2" t="s">
        <v>1054</v>
      </c>
      <c r="C3666" s="5" t="s">
        <v>5772</v>
      </c>
      <c r="D3666" s="2" t="s">
        <v>3393</v>
      </c>
    </row>
    <row r="3667" spans="1:4" ht="13.05" customHeight="1" x14ac:dyDescent="0.3">
      <c r="A3667" s="2" t="s">
        <v>432</v>
      </c>
      <c r="B3667" s="2" t="s">
        <v>1054</v>
      </c>
      <c r="C3667" s="5" t="s">
        <v>5773</v>
      </c>
      <c r="D3667" s="2" t="s">
        <v>3581</v>
      </c>
    </row>
    <row r="3668" spans="1:4" ht="13.05" customHeight="1" x14ac:dyDescent="0.3">
      <c r="A3668" s="2" t="s">
        <v>432</v>
      </c>
      <c r="B3668" s="2" t="s">
        <v>1054</v>
      </c>
      <c r="C3668" s="5" t="s">
        <v>5774</v>
      </c>
      <c r="D3668" s="2" t="s">
        <v>4724</v>
      </c>
    </row>
    <row r="3669" spans="1:4" ht="13.05" customHeight="1" x14ac:dyDescent="0.3">
      <c r="A3669" s="2" t="s">
        <v>432</v>
      </c>
      <c r="B3669" s="2" t="s">
        <v>1054</v>
      </c>
      <c r="C3669" s="5" t="s">
        <v>5775</v>
      </c>
      <c r="D3669" s="2" t="s">
        <v>3395</v>
      </c>
    </row>
    <row r="3670" spans="1:4" ht="13.05" customHeight="1" x14ac:dyDescent="0.3">
      <c r="A3670" s="2" t="s">
        <v>432</v>
      </c>
      <c r="B3670" s="2" t="s">
        <v>1054</v>
      </c>
      <c r="C3670" s="5" t="s">
        <v>5776</v>
      </c>
      <c r="D3670" s="2" t="s">
        <v>3770</v>
      </c>
    </row>
    <row r="3671" spans="1:4" ht="13.05" customHeight="1" x14ac:dyDescent="0.3">
      <c r="A3671" s="2" t="s">
        <v>432</v>
      </c>
      <c r="B3671" s="2" t="s">
        <v>1054</v>
      </c>
      <c r="C3671" s="5" t="s">
        <v>5777</v>
      </c>
      <c r="D3671" s="2" t="s">
        <v>4729</v>
      </c>
    </row>
    <row r="3672" spans="1:4" ht="13.05" customHeight="1" x14ac:dyDescent="0.3">
      <c r="A3672" s="2" t="s">
        <v>432</v>
      </c>
      <c r="B3672" s="2" t="s">
        <v>1054</v>
      </c>
      <c r="C3672" s="5" t="s">
        <v>5778</v>
      </c>
      <c r="D3672" s="2" t="s">
        <v>3586</v>
      </c>
    </row>
    <row r="3673" spans="1:4" ht="13.05" customHeight="1" x14ac:dyDescent="0.3">
      <c r="A3673" s="2" t="s">
        <v>432</v>
      </c>
      <c r="B3673" s="2" t="s">
        <v>1054</v>
      </c>
      <c r="C3673" s="5" t="s">
        <v>5779</v>
      </c>
      <c r="D3673" s="2" t="s">
        <v>5780</v>
      </c>
    </row>
    <row r="3674" spans="1:4" ht="13.05" customHeight="1" x14ac:dyDescent="0.3">
      <c r="A3674" s="2" t="s">
        <v>432</v>
      </c>
      <c r="B3674" s="2" t="s">
        <v>1054</v>
      </c>
      <c r="C3674" s="5" t="s">
        <v>5781</v>
      </c>
      <c r="D3674" s="2" t="s">
        <v>5782</v>
      </c>
    </row>
    <row r="3675" spans="1:4" ht="13.05" customHeight="1" x14ac:dyDescent="0.3">
      <c r="A3675" s="2" t="s">
        <v>432</v>
      </c>
      <c r="B3675" s="2" t="s">
        <v>1054</v>
      </c>
      <c r="C3675" s="5" t="s">
        <v>5783</v>
      </c>
      <c r="D3675" s="2" t="s">
        <v>5784</v>
      </c>
    </row>
    <row r="3676" spans="1:4" ht="13.05" customHeight="1" x14ac:dyDescent="0.3">
      <c r="A3676" s="2" t="s">
        <v>432</v>
      </c>
      <c r="B3676" s="2" t="s">
        <v>1054</v>
      </c>
      <c r="C3676" s="5" t="s">
        <v>5785</v>
      </c>
      <c r="D3676" s="2" t="s">
        <v>5786</v>
      </c>
    </row>
    <row r="3677" spans="1:4" ht="13.05" customHeight="1" x14ac:dyDescent="0.3">
      <c r="A3677" s="2" t="s">
        <v>432</v>
      </c>
      <c r="B3677" s="2" t="s">
        <v>1054</v>
      </c>
      <c r="C3677" s="5" t="s">
        <v>5787</v>
      </c>
      <c r="D3677" s="2" t="s">
        <v>5128</v>
      </c>
    </row>
    <row r="3678" spans="1:4" ht="13.05" customHeight="1" x14ac:dyDescent="0.3">
      <c r="A3678" s="2" t="s">
        <v>432</v>
      </c>
      <c r="B3678" s="2" t="s">
        <v>1054</v>
      </c>
      <c r="C3678" s="5" t="s">
        <v>5788</v>
      </c>
      <c r="D3678" s="2" t="s">
        <v>5314</v>
      </c>
    </row>
    <row r="3679" spans="1:4" ht="13.05" customHeight="1" x14ac:dyDescent="0.3">
      <c r="A3679" s="2" t="s">
        <v>432</v>
      </c>
      <c r="B3679" s="2" t="s">
        <v>1054</v>
      </c>
      <c r="C3679" s="5" t="s">
        <v>5789</v>
      </c>
      <c r="D3679" s="2" t="s">
        <v>3367</v>
      </c>
    </row>
    <row r="3680" spans="1:4" ht="13.05" customHeight="1" x14ac:dyDescent="0.3">
      <c r="A3680" s="2" t="s">
        <v>432</v>
      </c>
      <c r="B3680" s="2" t="s">
        <v>1054</v>
      </c>
      <c r="C3680" s="5" t="s">
        <v>5790</v>
      </c>
      <c r="D3680" s="2" t="s">
        <v>3564</v>
      </c>
    </row>
    <row r="3681" spans="1:4" ht="13.05" customHeight="1" x14ac:dyDescent="0.3">
      <c r="A3681" s="2" t="s">
        <v>432</v>
      </c>
      <c r="B3681" s="2" t="s">
        <v>1054</v>
      </c>
      <c r="C3681" s="5" t="s">
        <v>5791</v>
      </c>
      <c r="D3681" s="2" t="s">
        <v>3570</v>
      </c>
    </row>
    <row r="3682" spans="1:4" ht="13.05" customHeight="1" x14ac:dyDescent="0.3">
      <c r="A3682" s="2" t="s">
        <v>432</v>
      </c>
      <c r="B3682" s="2" t="s">
        <v>1054</v>
      </c>
      <c r="C3682" s="5" t="s">
        <v>5792</v>
      </c>
      <c r="D3682" s="2" t="s">
        <v>3572</v>
      </c>
    </row>
    <row r="3683" spans="1:4" ht="13.05" customHeight="1" x14ac:dyDescent="0.3">
      <c r="A3683" s="2" t="s">
        <v>432</v>
      </c>
      <c r="B3683" s="2" t="s">
        <v>1054</v>
      </c>
      <c r="C3683" s="5" t="s">
        <v>5793</v>
      </c>
      <c r="D3683" s="2" t="s">
        <v>3574</v>
      </c>
    </row>
    <row r="3684" spans="1:4" ht="13.05" customHeight="1" x14ac:dyDescent="0.3">
      <c r="A3684" s="2" t="s">
        <v>432</v>
      </c>
      <c r="B3684" s="2" t="s">
        <v>1054</v>
      </c>
      <c r="C3684" s="5" t="s">
        <v>5794</v>
      </c>
      <c r="D3684" s="2" t="s">
        <v>3765</v>
      </c>
    </row>
    <row r="3685" spans="1:4" ht="13.05" customHeight="1" x14ac:dyDescent="0.3">
      <c r="A3685" s="2" t="s">
        <v>432</v>
      </c>
      <c r="B3685" s="2" t="s">
        <v>1054</v>
      </c>
      <c r="C3685" s="5" t="s">
        <v>5795</v>
      </c>
      <c r="D3685" s="2" t="s">
        <v>3578</v>
      </c>
    </row>
    <row r="3686" spans="1:4" ht="13.05" customHeight="1" x14ac:dyDescent="0.3">
      <c r="A3686" s="2" t="s">
        <v>432</v>
      </c>
      <c r="B3686" s="2" t="s">
        <v>1054</v>
      </c>
      <c r="C3686" s="5" t="s">
        <v>5796</v>
      </c>
      <c r="D3686" s="2" t="s">
        <v>5797</v>
      </c>
    </row>
    <row r="3687" spans="1:4" ht="13.05" customHeight="1" x14ac:dyDescent="0.3">
      <c r="A3687" s="2" t="s">
        <v>432</v>
      </c>
      <c r="B3687" s="2" t="s">
        <v>1054</v>
      </c>
      <c r="C3687" s="5" t="s">
        <v>5798</v>
      </c>
      <c r="D3687" s="2" t="s">
        <v>3581</v>
      </c>
    </row>
    <row r="3688" spans="1:4" ht="13.05" customHeight="1" x14ac:dyDescent="0.3">
      <c r="A3688" s="2" t="s">
        <v>432</v>
      </c>
      <c r="B3688" s="2" t="s">
        <v>1054</v>
      </c>
      <c r="C3688" s="5" t="s">
        <v>5799</v>
      </c>
      <c r="D3688" s="2" t="s">
        <v>4724</v>
      </c>
    </row>
    <row r="3689" spans="1:4" ht="13.05" customHeight="1" x14ac:dyDescent="0.3">
      <c r="A3689" s="2" t="s">
        <v>432</v>
      </c>
      <c r="B3689" s="2" t="s">
        <v>1054</v>
      </c>
      <c r="C3689" s="5" t="s">
        <v>5800</v>
      </c>
      <c r="D3689" s="2" t="s">
        <v>3395</v>
      </c>
    </row>
    <row r="3690" spans="1:4" ht="13.05" customHeight="1" x14ac:dyDescent="0.3">
      <c r="A3690" s="2" t="s">
        <v>432</v>
      </c>
      <c r="B3690" s="2" t="s">
        <v>1054</v>
      </c>
      <c r="C3690" s="5" t="s">
        <v>5801</v>
      </c>
      <c r="D3690" s="2" t="s">
        <v>3770</v>
      </c>
    </row>
    <row r="3691" spans="1:4" ht="13.05" customHeight="1" x14ac:dyDescent="0.3">
      <c r="A3691" s="2" t="s">
        <v>432</v>
      </c>
      <c r="B3691" s="2" t="s">
        <v>1054</v>
      </c>
      <c r="C3691" s="5" t="s">
        <v>5802</v>
      </c>
      <c r="D3691" s="2" t="s">
        <v>3584</v>
      </c>
    </row>
    <row r="3692" spans="1:4" ht="13.05" customHeight="1" x14ac:dyDescent="0.3">
      <c r="A3692" s="2" t="s">
        <v>432</v>
      </c>
      <c r="B3692" s="2" t="s">
        <v>1054</v>
      </c>
      <c r="C3692" s="5" t="s">
        <v>5803</v>
      </c>
      <c r="D3692" s="2" t="s">
        <v>3586</v>
      </c>
    </row>
    <row r="3693" spans="1:4" ht="13.05" customHeight="1" x14ac:dyDescent="0.3">
      <c r="A3693" s="2" t="s">
        <v>432</v>
      </c>
      <c r="B3693" s="2" t="s">
        <v>1054</v>
      </c>
      <c r="C3693" s="5" t="s">
        <v>5804</v>
      </c>
      <c r="D3693" s="2" t="s">
        <v>5805</v>
      </c>
    </row>
    <row r="3694" spans="1:4" ht="13.05" customHeight="1" x14ac:dyDescent="0.3">
      <c r="A3694" s="2" t="s">
        <v>432</v>
      </c>
      <c r="B3694" s="2" t="s">
        <v>1054</v>
      </c>
      <c r="C3694" s="5" t="s">
        <v>5806</v>
      </c>
      <c r="D3694" s="2" t="s">
        <v>3564</v>
      </c>
    </row>
    <row r="3695" spans="1:4" ht="13.05" customHeight="1" x14ac:dyDescent="0.3">
      <c r="A3695" s="2" t="s">
        <v>432</v>
      </c>
      <c r="B3695" s="2" t="s">
        <v>1054</v>
      </c>
      <c r="C3695" s="5" t="s">
        <v>5807</v>
      </c>
      <c r="D3695" s="2" t="s">
        <v>3570</v>
      </c>
    </row>
    <row r="3696" spans="1:4" ht="13.05" customHeight="1" x14ac:dyDescent="0.3">
      <c r="A3696" s="2" t="s">
        <v>432</v>
      </c>
      <c r="B3696" s="2" t="s">
        <v>1054</v>
      </c>
      <c r="C3696" s="5" t="s">
        <v>5808</v>
      </c>
      <c r="D3696" s="2" t="s">
        <v>3572</v>
      </c>
    </row>
    <row r="3697" spans="1:4" ht="13.05" customHeight="1" x14ac:dyDescent="0.3">
      <c r="A3697" s="2" t="s">
        <v>432</v>
      </c>
      <c r="B3697" s="2" t="s">
        <v>1054</v>
      </c>
      <c r="C3697" s="5" t="s">
        <v>5809</v>
      </c>
      <c r="D3697" s="2" t="s">
        <v>3574</v>
      </c>
    </row>
    <row r="3698" spans="1:4" ht="13.05" customHeight="1" x14ac:dyDescent="0.3">
      <c r="A3698" s="2" t="s">
        <v>432</v>
      </c>
      <c r="B3698" s="2" t="s">
        <v>1054</v>
      </c>
      <c r="C3698" s="5" t="s">
        <v>5810</v>
      </c>
      <c r="D3698" s="2" t="s">
        <v>3765</v>
      </c>
    </row>
    <row r="3699" spans="1:4" ht="13.05" customHeight="1" x14ac:dyDescent="0.3">
      <c r="A3699" s="2" t="s">
        <v>432</v>
      </c>
      <c r="B3699" s="2" t="s">
        <v>1054</v>
      </c>
      <c r="C3699" s="5" t="s">
        <v>5811</v>
      </c>
      <c r="D3699" s="2" t="s">
        <v>3578</v>
      </c>
    </row>
    <row r="3700" spans="1:4" ht="13.05" customHeight="1" x14ac:dyDescent="0.3">
      <c r="A3700" s="2" t="s">
        <v>432</v>
      </c>
      <c r="B3700" s="2" t="s">
        <v>1054</v>
      </c>
      <c r="C3700" s="5" t="s">
        <v>5812</v>
      </c>
      <c r="D3700" s="2" t="s">
        <v>3393</v>
      </c>
    </row>
    <row r="3701" spans="1:4" ht="13.05" customHeight="1" x14ac:dyDescent="0.3">
      <c r="A3701" s="2" t="s">
        <v>432</v>
      </c>
      <c r="B3701" s="2" t="s">
        <v>1054</v>
      </c>
      <c r="C3701" s="5" t="s">
        <v>5813</v>
      </c>
      <c r="D3701" s="2" t="s">
        <v>3581</v>
      </c>
    </row>
    <row r="3702" spans="1:4" ht="13.05" customHeight="1" x14ac:dyDescent="0.3">
      <c r="A3702" s="2" t="s">
        <v>432</v>
      </c>
      <c r="B3702" s="2" t="s">
        <v>1054</v>
      </c>
      <c r="C3702" s="5" t="s">
        <v>5814</v>
      </c>
      <c r="D3702" s="2" t="s">
        <v>4724</v>
      </c>
    </row>
    <row r="3703" spans="1:4" ht="13.05" customHeight="1" x14ac:dyDescent="0.3">
      <c r="A3703" s="2" t="s">
        <v>432</v>
      </c>
      <c r="B3703" s="2" t="s">
        <v>1054</v>
      </c>
      <c r="C3703" s="5" t="s">
        <v>5815</v>
      </c>
      <c r="D3703" s="2" t="s">
        <v>3395</v>
      </c>
    </row>
    <row r="3704" spans="1:4" ht="13.05" customHeight="1" x14ac:dyDescent="0.3">
      <c r="A3704" s="2" t="s">
        <v>432</v>
      </c>
      <c r="B3704" s="2" t="s">
        <v>1054</v>
      </c>
      <c r="C3704" s="5" t="s">
        <v>5816</v>
      </c>
      <c r="D3704" s="2" t="s">
        <v>3770</v>
      </c>
    </row>
    <row r="3705" spans="1:4" ht="13.05" customHeight="1" x14ac:dyDescent="0.3">
      <c r="A3705" s="2" t="s">
        <v>432</v>
      </c>
      <c r="B3705" s="2" t="s">
        <v>1054</v>
      </c>
      <c r="C3705" s="5" t="s">
        <v>5817</v>
      </c>
      <c r="D3705" s="2" t="s">
        <v>4729</v>
      </c>
    </row>
    <row r="3706" spans="1:4" ht="13.05" customHeight="1" x14ac:dyDescent="0.3">
      <c r="A3706" s="2" t="s">
        <v>432</v>
      </c>
      <c r="B3706" s="2" t="s">
        <v>1054</v>
      </c>
      <c r="C3706" s="5" t="s">
        <v>5818</v>
      </c>
      <c r="D3706" s="2" t="s">
        <v>3586</v>
      </c>
    </row>
    <row r="3707" spans="1:4" ht="13.05" customHeight="1" x14ac:dyDescent="0.3">
      <c r="A3707" s="2" t="s">
        <v>432</v>
      </c>
      <c r="B3707" s="2" t="s">
        <v>1054</v>
      </c>
      <c r="C3707" s="5" t="s">
        <v>5819</v>
      </c>
      <c r="D3707" s="2" t="s">
        <v>5820</v>
      </c>
    </row>
    <row r="3708" spans="1:4" ht="13.05" customHeight="1" x14ac:dyDescent="0.3">
      <c r="A3708" s="2" t="s">
        <v>432</v>
      </c>
      <c r="B3708" s="2" t="s">
        <v>1054</v>
      </c>
      <c r="C3708" s="5" t="s">
        <v>5821</v>
      </c>
      <c r="D3708" s="2" t="s">
        <v>3564</v>
      </c>
    </row>
    <row r="3709" spans="1:4" ht="13.05" customHeight="1" x14ac:dyDescent="0.3">
      <c r="A3709" s="2" t="s">
        <v>432</v>
      </c>
      <c r="B3709" s="2" t="s">
        <v>1054</v>
      </c>
      <c r="C3709" s="5" t="s">
        <v>5822</v>
      </c>
      <c r="D3709" s="2" t="s">
        <v>3570</v>
      </c>
    </row>
    <row r="3710" spans="1:4" ht="13.05" customHeight="1" x14ac:dyDescent="0.3">
      <c r="A3710" s="2" t="s">
        <v>432</v>
      </c>
      <c r="B3710" s="2" t="s">
        <v>1054</v>
      </c>
      <c r="C3710" s="5" t="s">
        <v>5823</v>
      </c>
      <c r="D3710" s="2" t="s">
        <v>3572</v>
      </c>
    </row>
    <row r="3711" spans="1:4" ht="13.05" customHeight="1" x14ac:dyDescent="0.3">
      <c r="A3711" s="2" t="s">
        <v>432</v>
      </c>
      <c r="B3711" s="2" t="s">
        <v>1054</v>
      </c>
      <c r="C3711" s="5" t="s">
        <v>5824</v>
      </c>
      <c r="D3711" s="2" t="s">
        <v>3574</v>
      </c>
    </row>
    <row r="3712" spans="1:4" ht="13.05" customHeight="1" x14ac:dyDescent="0.3">
      <c r="A3712" s="2" t="s">
        <v>432</v>
      </c>
      <c r="B3712" s="2" t="s">
        <v>1054</v>
      </c>
      <c r="C3712" s="5" t="s">
        <v>5825</v>
      </c>
      <c r="D3712" s="2" t="s">
        <v>3765</v>
      </c>
    </row>
    <row r="3713" spans="1:4" ht="13.05" customHeight="1" x14ac:dyDescent="0.3">
      <c r="A3713" s="2" t="s">
        <v>432</v>
      </c>
      <c r="B3713" s="2" t="s">
        <v>1054</v>
      </c>
      <c r="C3713" s="5" t="s">
        <v>5826</v>
      </c>
      <c r="D3713" s="2" t="s">
        <v>3578</v>
      </c>
    </row>
    <row r="3714" spans="1:4" ht="13.05" customHeight="1" x14ac:dyDescent="0.3">
      <c r="A3714" s="2" t="s">
        <v>432</v>
      </c>
      <c r="B3714" s="2" t="s">
        <v>1054</v>
      </c>
      <c r="C3714" s="5" t="s">
        <v>5827</v>
      </c>
      <c r="D3714" s="2" t="s">
        <v>3393</v>
      </c>
    </row>
    <row r="3715" spans="1:4" ht="13.05" customHeight="1" x14ac:dyDescent="0.3">
      <c r="A3715" s="2" t="s">
        <v>432</v>
      </c>
      <c r="B3715" s="2" t="s">
        <v>1054</v>
      </c>
      <c r="C3715" s="5" t="s">
        <v>5828</v>
      </c>
      <c r="D3715" s="2" t="s">
        <v>3581</v>
      </c>
    </row>
    <row r="3716" spans="1:4" ht="13.05" customHeight="1" x14ac:dyDescent="0.3">
      <c r="A3716" s="2" t="s">
        <v>432</v>
      </c>
      <c r="B3716" s="2" t="s">
        <v>1054</v>
      </c>
      <c r="C3716" s="5" t="s">
        <v>5829</v>
      </c>
      <c r="D3716" s="2" t="s">
        <v>4724</v>
      </c>
    </row>
    <row r="3717" spans="1:4" ht="13.05" customHeight="1" x14ac:dyDescent="0.3">
      <c r="A3717" s="2" t="s">
        <v>432</v>
      </c>
      <c r="B3717" s="2" t="s">
        <v>1054</v>
      </c>
      <c r="C3717" s="5" t="s">
        <v>5830</v>
      </c>
      <c r="D3717" s="2" t="s">
        <v>3395</v>
      </c>
    </row>
    <row r="3718" spans="1:4" ht="13.05" customHeight="1" x14ac:dyDescent="0.3">
      <c r="A3718" s="2" t="s">
        <v>432</v>
      </c>
      <c r="B3718" s="2" t="s">
        <v>1054</v>
      </c>
      <c r="C3718" s="5" t="s">
        <v>5831</v>
      </c>
      <c r="D3718" s="2" t="s">
        <v>3770</v>
      </c>
    </row>
    <row r="3719" spans="1:4" ht="13.05" customHeight="1" x14ac:dyDescent="0.3">
      <c r="A3719" s="2" t="s">
        <v>432</v>
      </c>
      <c r="B3719" s="2" t="s">
        <v>1054</v>
      </c>
      <c r="C3719" s="5" t="s">
        <v>5832</v>
      </c>
      <c r="D3719" s="2" t="s">
        <v>4729</v>
      </c>
    </row>
    <row r="3720" spans="1:4" ht="13.05" customHeight="1" x14ac:dyDescent="0.3">
      <c r="A3720" s="2" t="s">
        <v>432</v>
      </c>
      <c r="B3720" s="2" t="s">
        <v>1054</v>
      </c>
      <c r="C3720" s="5" t="s">
        <v>5833</v>
      </c>
      <c r="D3720" s="2" t="s">
        <v>3586</v>
      </c>
    </row>
    <row r="3721" spans="1:4" ht="13.05" customHeight="1" x14ac:dyDescent="0.3">
      <c r="A3721" s="2" t="s">
        <v>432</v>
      </c>
      <c r="B3721" s="2" t="s">
        <v>1054</v>
      </c>
      <c r="C3721" s="5" t="s">
        <v>5834</v>
      </c>
      <c r="D3721" s="2" t="s">
        <v>5835</v>
      </c>
    </row>
    <row r="3722" spans="1:4" ht="13.05" customHeight="1" x14ac:dyDescent="0.3">
      <c r="A3722" s="2" t="s">
        <v>432</v>
      </c>
      <c r="B3722" s="2" t="s">
        <v>1054</v>
      </c>
      <c r="C3722" s="5" t="s">
        <v>5836</v>
      </c>
      <c r="D3722" s="2" t="s">
        <v>3564</v>
      </c>
    </row>
    <row r="3723" spans="1:4" ht="13.05" customHeight="1" x14ac:dyDescent="0.3">
      <c r="A3723" s="2" t="s">
        <v>432</v>
      </c>
      <c r="B3723" s="2" t="s">
        <v>1054</v>
      </c>
      <c r="C3723" s="5" t="s">
        <v>5837</v>
      </c>
      <c r="D3723" s="2" t="s">
        <v>3570</v>
      </c>
    </row>
    <row r="3724" spans="1:4" ht="13.05" customHeight="1" x14ac:dyDescent="0.3">
      <c r="A3724" s="2" t="s">
        <v>432</v>
      </c>
      <c r="B3724" s="2" t="s">
        <v>1054</v>
      </c>
      <c r="C3724" s="5" t="s">
        <v>5838</v>
      </c>
      <c r="D3724" s="2" t="s">
        <v>3572</v>
      </c>
    </row>
    <row r="3725" spans="1:4" ht="13.05" customHeight="1" x14ac:dyDescent="0.3">
      <c r="A3725" s="2" t="s">
        <v>432</v>
      </c>
      <c r="B3725" s="2" t="s">
        <v>1054</v>
      </c>
      <c r="C3725" s="5" t="s">
        <v>5839</v>
      </c>
      <c r="D3725" s="2" t="s">
        <v>3574</v>
      </c>
    </row>
    <row r="3726" spans="1:4" ht="13.05" customHeight="1" x14ac:dyDescent="0.3">
      <c r="A3726" s="2" t="s">
        <v>432</v>
      </c>
      <c r="B3726" s="2" t="s">
        <v>1054</v>
      </c>
      <c r="C3726" s="5" t="s">
        <v>5840</v>
      </c>
      <c r="D3726" s="2" t="s">
        <v>3765</v>
      </c>
    </row>
    <row r="3727" spans="1:4" ht="13.05" customHeight="1" x14ac:dyDescent="0.3">
      <c r="A3727" s="2" t="s">
        <v>432</v>
      </c>
      <c r="B3727" s="2" t="s">
        <v>1054</v>
      </c>
      <c r="C3727" s="5" t="s">
        <v>5841</v>
      </c>
      <c r="D3727" s="2" t="s">
        <v>3578</v>
      </c>
    </row>
    <row r="3728" spans="1:4" ht="13.05" customHeight="1" x14ac:dyDescent="0.3">
      <c r="A3728" s="2" t="s">
        <v>432</v>
      </c>
      <c r="B3728" s="2" t="s">
        <v>1054</v>
      </c>
      <c r="C3728" s="5" t="s">
        <v>5842</v>
      </c>
      <c r="D3728" s="2" t="s">
        <v>3393</v>
      </c>
    </row>
    <row r="3729" spans="1:4" ht="13.05" customHeight="1" x14ac:dyDescent="0.3">
      <c r="A3729" s="2" t="s">
        <v>432</v>
      </c>
      <c r="B3729" s="2" t="s">
        <v>1054</v>
      </c>
      <c r="C3729" s="5" t="s">
        <v>5843</v>
      </c>
      <c r="D3729" s="2" t="s">
        <v>3581</v>
      </c>
    </row>
    <row r="3730" spans="1:4" ht="13.05" customHeight="1" x14ac:dyDescent="0.3">
      <c r="A3730" s="2" t="s">
        <v>432</v>
      </c>
      <c r="B3730" s="2" t="s">
        <v>1054</v>
      </c>
      <c r="C3730" s="5" t="s">
        <v>5844</v>
      </c>
      <c r="D3730" s="2" t="s">
        <v>4724</v>
      </c>
    </row>
    <row r="3731" spans="1:4" ht="13.05" customHeight="1" x14ac:dyDescent="0.3">
      <c r="A3731" s="2" t="s">
        <v>432</v>
      </c>
      <c r="B3731" s="2" t="s">
        <v>1054</v>
      </c>
      <c r="C3731" s="5" t="s">
        <v>5845</v>
      </c>
      <c r="D3731" s="2" t="s">
        <v>3395</v>
      </c>
    </row>
    <row r="3732" spans="1:4" ht="13.05" customHeight="1" x14ac:dyDescent="0.3">
      <c r="A3732" s="2" t="s">
        <v>432</v>
      </c>
      <c r="B3732" s="2" t="s">
        <v>1054</v>
      </c>
      <c r="C3732" s="5" t="s">
        <v>5846</v>
      </c>
      <c r="D3732" s="2" t="s">
        <v>3770</v>
      </c>
    </row>
    <row r="3733" spans="1:4" ht="13.05" customHeight="1" x14ac:dyDescent="0.3">
      <c r="A3733" s="2" t="s">
        <v>432</v>
      </c>
      <c r="B3733" s="2" t="s">
        <v>1054</v>
      </c>
      <c r="C3733" s="5" t="s">
        <v>5847</v>
      </c>
      <c r="D3733" s="2" t="s">
        <v>4729</v>
      </c>
    </row>
    <row r="3734" spans="1:4" ht="13.05" customHeight="1" x14ac:dyDescent="0.3">
      <c r="A3734" s="2" t="s">
        <v>432</v>
      </c>
      <c r="B3734" s="2" t="s">
        <v>1054</v>
      </c>
      <c r="C3734" s="5" t="s">
        <v>5848</v>
      </c>
      <c r="D3734" s="2" t="s">
        <v>3586</v>
      </c>
    </row>
    <row r="3735" spans="1:4" ht="13.05" customHeight="1" x14ac:dyDescent="0.3">
      <c r="A3735" s="2" t="s">
        <v>432</v>
      </c>
      <c r="B3735" s="2" t="s">
        <v>1054</v>
      </c>
      <c r="C3735" s="5" t="s">
        <v>5849</v>
      </c>
      <c r="D3735" s="2" t="s">
        <v>5850</v>
      </c>
    </row>
    <row r="3736" spans="1:4" ht="13.05" customHeight="1" x14ac:dyDescent="0.3">
      <c r="A3736" s="2" t="s">
        <v>432</v>
      </c>
      <c r="B3736" s="2" t="s">
        <v>1054</v>
      </c>
      <c r="C3736" s="5" t="s">
        <v>5851</v>
      </c>
      <c r="D3736" s="2" t="s">
        <v>3564</v>
      </c>
    </row>
    <row r="3737" spans="1:4" ht="13.05" customHeight="1" x14ac:dyDescent="0.3">
      <c r="A3737" s="2" t="s">
        <v>432</v>
      </c>
      <c r="B3737" s="2" t="s">
        <v>1054</v>
      </c>
      <c r="C3737" s="5" t="s">
        <v>5852</v>
      </c>
      <c r="D3737" s="2" t="s">
        <v>3570</v>
      </c>
    </row>
    <row r="3738" spans="1:4" ht="13.05" customHeight="1" x14ac:dyDescent="0.3">
      <c r="A3738" s="2" t="s">
        <v>432</v>
      </c>
      <c r="B3738" s="2" t="s">
        <v>1054</v>
      </c>
      <c r="C3738" s="5" t="s">
        <v>5853</v>
      </c>
      <c r="D3738" s="2" t="s">
        <v>3572</v>
      </c>
    </row>
    <row r="3739" spans="1:4" ht="13.05" customHeight="1" x14ac:dyDescent="0.3">
      <c r="A3739" s="2" t="s">
        <v>432</v>
      </c>
      <c r="B3739" s="2" t="s">
        <v>1054</v>
      </c>
      <c r="C3739" s="5" t="s">
        <v>5854</v>
      </c>
      <c r="D3739" s="2" t="s">
        <v>3574</v>
      </c>
    </row>
    <row r="3740" spans="1:4" ht="13.05" customHeight="1" x14ac:dyDescent="0.3">
      <c r="A3740" s="2" t="s">
        <v>432</v>
      </c>
      <c r="B3740" s="2" t="s">
        <v>1054</v>
      </c>
      <c r="C3740" s="5" t="s">
        <v>5855</v>
      </c>
      <c r="D3740" s="2" t="s">
        <v>3765</v>
      </c>
    </row>
    <row r="3741" spans="1:4" ht="13.05" customHeight="1" x14ac:dyDescent="0.3">
      <c r="A3741" s="2" t="s">
        <v>432</v>
      </c>
      <c r="B3741" s="2" t="s">
        <v>1054</v>
      </c>
      <c r="C3741" s="5" t="s">
        <v>5856</v>
      </c>
      <c r="D3741" s="2" t="s">
        <v>3578</v>
      </c>
    </row>
    <row r="3742" spans="1:4" ht="13.05" customHeight="1" x14ac:dyDescent="0.3">
      <c r="A3742" s="2" t="s">
        <v>432</v>
      </c>
      <c r="B3742" s="2" t="s">
        <v>1054</v>
      </c>
      <c r="C3742" s="5" t="s">
        <v>5857</v>
      </c>
      <c r="D3742" s="2" t="s">
        <v>3393</v>
      </c>
    </row>
    <row r="3743" spans="1:4" ht="13.05" customHeight="1" x14ac:dyDescent="0.3">
      <c r="A3743" s="2" t="s">
        <v>432</v>
      </c>
      <c r="B3743" s="2" t="s">
        <v>1054</v>
      </c>
      <c r="C3743" s="5" t="s">
        <v>5858</v>
      </c>
      <c r="D3743" s="2" t="s">
        <v>3581</v>
      </c>
    </row>
    <row r="3744" spans="1:4" ht="13.05" customHeight="1" x14ac:dyDescent="0.3">
      <c r="A3744" s="2" t="s">
        <v>432</v>
      </c>
      <c r="B3744" s="2" t="s">
        <v>1054</v>
      </c>
      <c r="C3744" s="5" t="s">
        <v>5859</v>
      </c>
      <c r="D3744" s="2" t="s">
        <v>4724</v>
      </c>
    </row>
    <row r="3745" spans="1:4" ht="13.05" customHeight="1" x14ac:dyDescent="0.3">
      <c r="A3745" s="2" t="s">
        <v>432</v>
      </c>
      <c r="B3745" s="2" t="s">
        <v>1054</v>
      </c>
      <c r="C3745" s="5" t="s">
        <v>5860</v>
      </c>
      <c r="D3745" s="2" t="s">
        <v>3395</v>
      </c>
    </row>
    <row r="3746" spans="1:4" ht="13.05" customHeight="1" x14ac:dyDescent="0.3">
      <c r="A3746" s="2" t="s">
        <v>432</v>
      </c>
      <c r="B3746" s="2" t="s">
        <v>1054</v>
      </c>
      <c r="C3746" s="5" t="s">
        <v>5861</v>
      </c>
      <c r="D3746" s="2" t="s">
        <v>3397</v>
      </c>
    </row>
    <row r="3747" spans="1:4" ht="13.05" customHeight="1" x14ac:dyDescent="0.3">
      <c r="A3747" s="2" t="s">
        <v>432</v>
      </c>
      <c r="B3747" s="2" t="s">
        <v>1054</v>
      </c>
      <c r="C3747" s="5" t="s">
        <v>5862</v>
      </c>
      <c r="D3747" s="2" t="s">
        <v>3584</v>
      </c>
    </row>
    <row r="3748" spans="1:4" ht="13.05" customHeight="1" x14ac:dyDescent="0.3">
      <c r="A3748" s="2" t="s">
        <v>432</v>
      </c>
      <c r="B3748" s="2" t="s">
        <v>1054</v>
      </c>
      <c r="C3748" s="5" t="s">
        <v>5863</v>
      </c>
      <c r="D3748" s="2" t="s">
        <v>3401</v>
      </c>
    </row>
    <row r="3749" spans="1:4" ht="13.05" customHeight="1" x14ac:dyDescent="0.3">
      <c r="A3749" s="2" t="s">
        <v>432</v>
      </c>
      <c r="B3749" s="2" t="s">
        <v>1054</v>
      </c>
      <c r="C3749" s="5" t="s">
        <v>5864</v>
      </c>
      <c r="D3749" s="2" t="s">
        <v>5865</v>
      </c>
    </row>
    <row r="3750" spans="1:4" ht="13.05" customHeight="1" x14ac:dyDescent="0.3">
      <c r="A3750" s="2" t="s">
        <v>432</v>
      </c>
      <c r="B3750" s="2" t="s">
        <v>1054</v>
      </c>
      <c r="C3750" s="5" t="s">
        <v>5866</v>
      </c>
      <c r="D3750" s="2" t="s">
        <v>3564</v>
      </c>
    </row>
    <row r="3751" spans="1:4" ht="13.05" customHeight="1" x14ac:dyDescent="0.3">
      <c r="A3751" s="2" t="s">
        <v>432</v>
      </c>
      <c r="B3751" s="2" t="s">
        <v>1054</v>
      </c>
      <c r="C3751" s="5" t="s">
        <v>5867</v>
      </c>
      <c r="D3751" s="2" t="s">
        <v>3570</v>
      </c>
    </row>
    <row r="3752" spans="1:4" ht="13.05" customHeight="1" x14ac:dyDescent="0.3">
      <c r="A3752" s="2" t="s">
        <v>432</v>
      </c>
      <c r="B3752" s="2" t="s">
        <v>1054</v>
      </c>
      <c r="C3752" s="5" t="s">
        <v>5868</v>
      </c>
      <c r="D3752" s="2" t="s">
        <v>3572</v>
      </c>
    </row>
    <row r="3753" spans="1:4" ht="13.05" customHeight="1" x14ac:dyDescent="0.3">
      <c r="A3753" s="2" t="s">
        <v>432</v>
      </c>
      <c r="B3753" s="2" t="s">
        <v>1054</v>
      </c>
      <c r="C3753" s="5" t="s">
        <v>5869</v>
      </c>
      <c r="D3753" s="2" t="s">
        <v>3574</v>
      </c>
    </row>
    <row r="3754" spans="1:4" ht="13.05" customHeight="1" x14ac:dyDescent="0.3">
      <c r="A3754" s="2" t="s">
        <v>432</v>
      </c>
      <c r="B3754" s="2" t="s">
        <v>1054</v>
      </c>
      <c r="C3754" s="5" t="s">
        <v>5870</v>
      </c>
      <c r="D3754" s="2" t="s">
        <v>3765</v>
      </c>
    </row>
    <row r="3755" spans="1:4" ht="13.05" customHeight="1" x14ac:dyDescent="0.3">
      <c r="A3755" s="2" t="s">
        <v>432</v>
      </c>
      <c r="B3755" s="2" t="s">
        <v>1054</v>
      </c>
      <c r="C3755" s="5" t="s">
        <v>5871</v>
      </c>
      <c r="D3755" s="2" t="s">
        <v>3578</v>
      </c>
    </row>
    <row r="3756" spans="1:4" ht="13.05" customHeight="1" x14ac:dyDescent="0.3">
      <c r="A3756" s="2" t="s">
        <v>432</v>
      </c>
      <c r="B3756" s="2" t="s">
        <v>1054</v>
      </c>
      <c r="C3756" s="5" t="s">
        <v>5872</v>
      </c>
      <c r="D3756" s="2" t="s">
        <v>3393</v>
      </c>
    </row>
    <row r="3757" spans="1:4" ht="13.05" customHeight="1" x14ac:dyDescent="0.3">
      <c r="A3757" s="2" t="s">
        <v>432</v>
      </c>
      <c r="B3757" s="2" t="s">
        <v>1054</v>
      </c>
      <c r="C3757" s="5" t="s">
        <v>5873</v>
      </c>
      <c r="D3757" s="2" t="s">
        <v>3581</v>
      </c>
    </row>
    <row r="3758" spans="1:4" ht="13.05" customHeight="1" x14ac:dyDescent="0.3">
      <c r="A3758" s="2" t="s">
        <v>432</v>
      </c>
      <c r="B3758" s="2" t="s">
        <v>1054</v>
      </c>
      <c r="C3758" s="5" t="s">
        <v>5874</v>
      </c>
      <c r="D3758" s="2" t="s">
        <v>4724</v>
      </c>
    </row>
    <row r="3759" spans="1:4" ht="13.05" customHeight="1" x14ac:dyDescent="0.3">
      <c r="A3759" s="2" t="s">
        <v>432</v>
      </c>
      <c r="B3759" s="2" t="s">
        <v>1054</v>
      </c>
      <c r="C3759" s="5" t="s">
        <v>5875</v>
      </c>
      <c r="D3759" s="2" t="s">
        <v>3395</v>
      </c>
    </row>
    <row r="3760" spans="1:4" ht="13.05" customHeight="1" x14ac:dyDescent="0.3">
      <c r="A3760" s="2" t="s">
        <v>432</v>
      </c>
      <c r="B3760" s="2" t="s">
        <v>1054</v>
      </c>
      <c r="C3760" s="5" t="s">
        <v>5876</v>
      </c>
      <c r="D3760" s="2" t="s">
        <v>3770</v>
      </c>
    </row>
    <row r="3761" spans="1:4" ht="13.05" customHeight="1" x14ac:dyDescent="0.3">
      <c r="A3761" s="2" t="s">
        <v>432</v>
      </c>
      <c r="B3761" s="2" t="s">
        <v>1054</v>
      </c>
      <c r="C3761" s="5" t="s">
        <v>5877</v>
      </c>
      <c r="D3761" s="2" t="s">
        <v>4729</v>
      </c>
    </row>
    <row r="3762" spans="1:4" ht="13.05" customHeight="1" x14ac:dyDescent="0.3">
      <c r="A3762" s="2" t="s">
        <v>432</v>
      </c>
      <c r="B3762" s="2" t="s">
        <v>1054</v>
      </c>
      <c r="C3762" s="5" t="s">
        <v>5878</v>
      </c>
      <c r="D3762" s="2" t="s">
        <v>3586</v>
      </c>
    </row>
    <row r="3763" spans="1:4" ht="13.05" customHeight="1" x14ac:dyDescent="0.3">
      <c r="A3763" s="2" t="s">
        <v>432</v>
      </c>
      <c r="B3763" s="2" t="s">
        <v>1054</v>
      </c>
      <c r="C3763" s="5" t="s">
        <v>5879</v>
      </c>
      <c r="D3763" s="2" t="s">
        <v>5880</v>
      </c>
    </row>
    <row r="3764" spans="1:4" ht="13.05" customHeight="1" x14ac:dyDescent="0.3">
      <c r="A3764" s="2" t="s">
        <v>432</v>
      </c>
      <c r="B3764" s="2" t="s">
        <v>1054</v>
      </c>
      <c r="C3764" s="5" t="s">
        <v>5881</v>
      </c>
      <c r="D3764" s="2" t="s">
        <v>5882</v>
      </c>
    </row>
    <row r="3765" spans="1:4" ht="13.05" customHeight="1" x14ac:dyDescent="0.3">
      <c r="A3765" s="2" t="s">
        <v>432</v>
      </c>
      <c r="B3765" s="2" t="s">
        <v>1054</v>
      </c>
      <c r="C3765" s="5" t="s">
        <v>5883</v>
      </c>
      <c r="D3765" s="2" t="s">
        <v>3581</v>
      </c>
    </row>
    <row r="3766" spans="1:4" ht="13.05" customHeight="1" x14ac:dyDescent="0.3">
      <c r="A3766" s="2" t="s">
        <v>432</v>
      </c>
      <c r="B3766" s="2" t="s">
        <v>1054</v>
      </c>
      <c r="C3766" s="5" t="s">
        <v>5884</v>
      </c>
      <c r="D3766" s="2" t="s">
        <v>4724</v>
      </c>
    </row>
    <row r="3767" spans="1:4" ht="13.05" customHeight="1" x14ac:dyDescent="0.3">
      <c r="A3767" s="2" t="s">
        <v>432</v>
      </c>
      <c r="B3767" s="2" t="s">
        <v>1054</v>
      </c>
      <c r="C3767" s="5" t="s">
        <v>5885</v>
      </c>
      <c r="D3767" s="2" t="s">
        <v>3395</v>
      </c>
    </row>
    <row r="3768" spans="1:4" ht="13.05" customHeight="1" x14ac:dyDescent="0.3">
      <c r="A3768" s="2" t="s">
        <v>432</v>
      </c>
      <c r="B3768" s="2" t="s">
        <v>1054</v>
      </c>
      <c r="C3768" s="5" t="s">
        <v>5886</v>
      </c>
      <c r="D3768" s="2" t="s">
        <v>5887</v>
      </c>
    </row>
    <row r="3769" spans="1:4" ht="13.05" customHeight="1" x14ac:dyDescent="0.3">
      <c r="A3769" s="2" t="s">
        <v>432</v>
      </c>
      <c r="B3769" s="2" t="s">
        <v>1054</v>
      </c>
      <c r="C3769" s="5" t="s">
        <v>5888</v>
      </c>
      <c r="D3769" s="2" t="s">
        <v>4729</v>
      </c>
    </row>
    <row r="3770" spans="1:4" ht="13.05" customHeight="1" x14ac:dyDescent="0.3">
      <c r="A3770" s="2" t="s">
        <v>432</v>
      </c>
      <c r="B3770" s="2" t="s">
        <v>1054</v>
      </c>
      <c r="C3770" s="5" t="s">
        <v>5889</v>
      </c>
      <c r="D3770" s="2" t="s">
        <v>5890</v>
      </c>
    </row>
    <row r="3771" spans="1:4" ht="13.05" customHeight="1" x14ac:dyDescent="0.3">
      <c r="A3771" s="2" t="s">
        <v>432</v>
      </c>
      <c r="B3771" s="2" t="s">
        <v>1054</v>
      </c>
      <c r="C3771" s="5" t="s">
        <v>5891</v>
      </c>
      <c r="D3771" s="2" t="s">
        <v>3581</v>
      </c>
    </row>
    <row r="3772" spans="1:4" ht="13.05" customHeight="1" x14ac:dyDescent="0.3">
      <c r="A3772" s="2" t="s">
        <v>432</v>
      </c>
      <c r="B3772" s="2" t="s">
        <v>1054</v>
      </c>
      <c r="C3772" s="5" t="s">
        <v>5892</v>
      </c>
      <c r="D3772" s="2" t="s">
        <v>4724</v>
      </c>
    </row>
    <row r="3773" spans="1:4" ht="13.05" customHeight="1" x14ac:dyDescent="0.3">
      <c r="A3773" s="2" t="s">
        <v>432</v>
      </c>
      <c r="B3773" s="2" t="s">
        <v>1054</v>
      </c>
      <c r="C3773" s="5" t="s">
        <v>5893</v>
      </c>
      <c r="D3773" s="2" t="s">
        <v>3395</v>
      </c>
    </row>
    <row r="3774" spans="1:4" ht="13.05" customHeight="1" x14ac:dyDescent="0.3">
      <c r="A3774" s="2" t="s">
        <v>432</v>
      </c>
      <c r="B3774" s="2" t="s">
        <v>1054</v>
      </c>
      <c r="C3774" s="5" t="s">
        <v>5894</v>
      </c>
      <c r="D3774" s="2" t="s">
        <v>3581</v>
      </c>
    </row>
    <row r="3775" spans="1:4" ht="13.05" customHeight="1" x14ac:dyDescent="0.3">
      <c r="A3775" s="2" t="s">
        <v>432</v>
      </c>
      <c r="B3775" s="2" t="s">
        <v>1054</v>
      </c>
      <c r="C3775" s="5" t="s">
        <v>5895</v>
      </c>
      <c r="D3775" s="2" t="s">
        <v>4724</v>
      </c>
    </row>
    <row r="3776" spans="1:4" ht="13.05" customHeight="1" x14ac:dyDescent="0.3">
      <c r="A3776" s="2" t="s">
        <v>432</v>
      </c>
      <c r="B3776" s="2" t="s">
        <v>1054</v>
      </c>
      <c r="C3776" s="5" t="s">
        <v>5896</v>
      </c>
      <c r="D3776" s="2" t="s">
        <v>3395</v>
      </c>
    </row>
    <row r="3777" spans="1:4" ht="13.05" customHeight="1" x14ac:dyDescent="0.3">
      <c r="A3777" s="2" t="s">
        <v>432</v>
      </c>
      <c r="B3777" s="2" t="s">
        <v>1054</v>
      </c>
      <c r="C3777" s="5" t="s">
        <v>5897</v>
      </c>
      <c r="D3777" s="2" t="s">
        <v>3770</v>
      </c>
    </row>
    <row r="3778" spans="1:4" ht="13.05" customHeight="1" x14ac:dyDescent="0.3">
      <c r="A3778" s="2" t="s">
        <v>432</v>
      </c>
      <c r="B3778" s="2" t="s">
        <v>1054</v>
      </c>
      <c r="C3778" s="5" t="s">
        <v>5898</v>
      </c>
      <c r="D3778" s="2" t="s">
        <v>4729</v>
      </c>
    </row>
    <row r="3779" spans="1:4" ht="13.05" customHeight="1" x14ac:dyDescent="0.3">
      <c r="A3779" s="2" t="s">
        <v>432</v>
      </c>
      <c r="B3779" s="2" t="s">
        <v>1054</v>
      </c>
      <c r="C3779" s="5" t="s">
        <v>5899</v>
      </c>
      <c r="D3779" s="2" t="s">
        <v>3581</v>
      </c>
    </row>
    <row r="3780" spans="1:4" ht="13.05" customHeight="1" x14ac:dyDescent="0.3">
      <c r="A3780" s="2" t="s">
        <v>432</v>
      </c>
      <c r="B3780" s="2" t="s">
        <v>1054</v>
      </c>
      <c r="C3780" s="5" t="s">
        <v>5900</v>
      </c>
      <c r="D3780" s="2" t="s">
        <v>4724</v>
      </c>
    </row>
    <row r="3781" spans="1:4" ht="13.05" customHeight="1" x14ac:dyDescent="0.3">
      <c r="A3781" s="2" t="s">
        <v>432</v>
      </c>
      <c r="B3781" s="2" t="s">
        <v>1054</v>
      </c>
      <c r="C3781" s="5" t="s">
        <v>5901</v>
      </c>
      <c r="D3781" s="2" t="s">
        <v>3395</v>
      </c>
    </row>
    <row r="3782" spans="1:4" ht="13.05" customHeight="1" x14ac:dyDescent="0.3">
      <c r="A3782" s="2" t="s">
        <v>432</v>
      </c>
      <c r="B3782" s="2" t="s">
        <v>1054</v>
      </c>
      <c r="C3782" s="5" t="s">
        <v>5902</v>
      </c>
      <c r="D3782" s="2" t="s">
        <v>3770</v>
      </c>
    </row>
    <row r="3783" spans="1:4" ht="13.05" customHeight="1" x14ac:dyDescent="0.3">
      <c r="A3783" s="2" t="s">
        <v>432</v>
      </c>
      <c r="B3783" s="2" t="s">
        <v>1054</v>
      </c>
      <c r="C3783" s="5" t="s">
        <v>5903</v>
      </c>
      <c r="D3783" s="2" t="s">
        <v>4729</v>
      </c>
    </row>
    <row r="3784" spans="1:4" ht="13.05" customHeight="1" x14ac:dyDescent="0.3">
      <c r="A3784" s="2" t="s">
        <v>432</v>
      </c>
      <c r="B3784" s="2" t="s">
        <v>1054</v>
      </c>
      <c r="C3784" s="5" t="s">
        <v>5904</v>
      </c>
      <c r="D3784" s="2" t="s">
        <v>5882</v>
      </c>
    </row>
    <row r="3785" spans="1:4" ht="13.05" customHeight="1" x14ac:dyDescent="0.3">
      <c r="A3785" s="2" t="s">
        <v>432</v>
      </c>
      <c r="B3785" s="2" t="s">
        <v>1054</v>
      </c>
      <c r="C3785" s="5" t="s">
        <v>5905</v>
      </c>
      <c r="D3785" s="2" t="s">
        <v>3581</v>
      </c>
    </row>
    <row r="3786" spans="1:4" ht="13.05" customHeight="1" x14ac:dyDescent="0.3">
      <c r="A3786" s="2" t="s">
        <v>432</v>
      </c>
      <c r="B3786" s="2" t="s">
        <v>1054</v>
      </c>
      <c r="C3786" s="5" t="s">
        <v>5906</v>
      </c>
      <c r="D3786" s="2" t="s">
        <v>4724</v>
      </c>
    </row>
    <row r="3787" spans="1:4" ht="13.05" customHeight="1" x14ac:dyDescent="0.3">
      <c r="A3787" s="2" t="s">
        <v>432</v>
      </c>
      <c r="B3787" s="2" t="s">
        <v>1054</v>
      </c>
      <c r="C3787" s="5" t="s">
        <v>5907</v>
      </c>
      <c r="D3787" s="2" t="s">
        <v>3395</v>
      </c>
    </row>
    <row r="3788" spans="1:4" ht="13.05" customHeight="1" x14ac:dyDescent="0.3">
      <c r="A3788" s="2" t="s">
        <v>432</v>
      </c>
      <c r="B3788" s="2" t="s">
        <v>1054</v>
      </c>
      <c r="C3788" s="5" t="s">
        <v>5908</v>
      </c>
      <c r="D3788" s="2" t="s">
        <v>3770</v>
      </c>
    </row>
    <row r="3789" spans="1:4" ht="13.05" customHeight="1" x14ac:dyDescent="0.3">
      <c r="A3789" s="2" t="s">
        <v>432</v>
      </c>
      <c r="B3789" s="2" t="s">
        <v>1054</v>
      </c>
      <c r="C3789" s="5" t="s">
        <v>5909</v>
      </c>
      <c r="D3789" s="2" t="s">
        <v>5910</v>
      </c>
    </row>
    <row r="3790" spans="1:4" ht="13.05" customHeight="1" x14ac:dyDescent="0.3">
      <c r="A3790" s="2" t="s">
        <v>432</v>
      </c>
      <c r="B3790" s="2" t="s">
        <v>1054</v>
      </c>
      <c r="C3790" s="5" t="s">
        <v>5911</v>
      </c>
      <c r="D3790" s="2" t="s">
        <v>5912</v>
      </c>
    </row>
    <row r="3791" spans="1:4" ht="13.05" customHeight="1" x14ac:dyDescent="0.3">
      <c r="A3791" s="2" t="s">
        <v>432</v>
      </c>
      <c r="B3791" s="2" t="s">
        <v>1054</v>
      </c>
      <c r="C3791" s="5" t="s">
        <v>5913</v>
      </c>
      <c r="D3791" s="2" t="s">
        <v>5914</v>
      </c>
    </row>
    <row r="3792" spans="1:4" ht="13.05" customHeight="1" x14ac:dyDescent="0.3">
      <c r="A3792" s="2" t="s">
        <v>432</v>
      </c>
      <c r="B3792" s="2" t="s">
        <v>1054</v>
      </c>
      <c r="C3792" s="5" t="s">
        <v>5915</v>
      </c>
      <c r="D3792" s="2" t="s">
        <v>5916</v>
      </c>
    </row>
    <row r="3793" spans="1:4" ht="13.05" customHeight="1" x14ac:dyDescent="0.3">
      <c r="A3793" s="2" t="s">
        <v>432</v>
      </c>
      <c r="B3793" s="2" t="s">
        <v>1054</v>
      </c>
      <c r="C3793" s="5" t="s">
        <v>5917</v>
      </c>
      <c r="D3793" s="2" t="s">
        <v>3333</v>
      </c>
    </row>
    <row r="3794" spans="1:4" ht="13.05" customHeight="1" x14ac:dyDescent="0.3">
      <c r="A3794" s="2" t="s">
        <v>432</v>
      </c>
      <c r="B3794" s="2" t="s">
        <v>1054</v>
      </c>
      <c r="C3794" s="5" t="s">
        <v>5918</v>
      </c>
      <c r="D3794" s="2" t="s">
        <v>3365</v>
      </c>
    </row>
    <row r="3795" spans="1:4" ht="13.05" customHeight="1" x14ac:dyDescent="0.3">
      <c r="A3795" s="2" t="s">
        <v>432</v>
      </c>
      <c r="B3795" s="2" t="s">
        <v>1054</v>
      </c>
      <c r="C3795" s="5" t="s">
        <v>5919</v>
      </c>
      <c r="D3795" s="2" t="s">
        <v>5920</v>
      </c>
    </row>
    <row r="3796" spans="1:4" ht="13.05" customHeight="1" x14ac:dyDescent="0.3">
      <c r="A3796" s="2" t="s">
        <v>432</v>
      </c>
      <c r="B3796" s="2" t="s">
        <v>1054</v>
      </c>
      <c r="C3796" s="5" t="s">
        <v>5921</v>
      </c>
      <c r="D3796" s="2" t="s">
        <v>5156</v>
      </c>
    </row>
    <row r="3797" spans="1:4" ht="13.05" customHeight="1" x14ac:dyDescent="0.3">
      <c r="A3797" s="2" t="s">
        <v>432</v>
      </c>
      <c r="B3797" s="2" t="s">
        <v>1054</v>
      </c>
      <c r="C3797" s="5" t="s">
        <v>5922</v>
      </c>
      <c r="D3797" s="2" t="s">
        <v>4938</v>
      </c>
    </row>
    <row r="3798" spans="1:4" ht="13.05" customHeight="1" x14ac:dyDescent="0.3">
      <c r="A3798" s="2" t="s">
        <v>432</v>
      </c>
      <c r="B3798" s="2" t="s">
        <v>1054</v>
      </c>
      <c r="C3798" s="5" t="s">
        <v>5923</v>
      </c>
      <c r="D3798" s="2" t="s">
        <v>4500</v>
      </c>
    </row>
    <row r="3799" spans="1:4" ht="13.05" customHeight="1" x14ac:dyDescent="0.3">
      <c r="A3799" s="2" t="s">
        <v>432</v>
      </c>
      <c r="B3799" s="2" t="s">
        <v>1054</v>
      </c>
      <c r="C3799" s="5" t="s">
        <v>5924</v>
      </c>
      <c r="D3799" s="2" t="s">
        <v>5160</v>
      </c>
    </row>
    <row r="3800" spans="1:4" ht="13.05" customHeight="1" x14ac:dyDescent="0.3">
      <c r="A3800" s="2" t="s">
        <v>432</v>
      </c>
      <c r="B3800" s="2" t="s">
        <v>1054</v>
      </c>
      <c r="C3800" s="5" t="s">
        <v>5925</v>
      </c>
      <c r="D3800" s="2" t="s">
        <v>5926</v>
      </c>
    </row>
    <row r="3801" spans="1:4" ht="13.05" customHeight="1" x14ac:dyDescent="0.3">
      <c r="A3801" s="2" t="s">
        <v>432</v>
      </c>
      <c r="B3801" s="2" t="s">
        <v>1054</v>
      </c>
      <c r="C3801" s="5" t="s">
        <v>5927</v>
      </c>
      <c r="D3801" s="2" t="s">
        <v>5928</v>
      </c>
    </row>
    <row r="3802" spans="1:4" ht="13.05" customHeight="1" x14ac:dyDescent="0.3">
      <c r="A3802" s="2" t="s">
        <v>432</v>
      </c>
      <c r="B3802" s="2" t="s">
        <v>1054</v>
      </c>
      <c r="C3802" s="5" t="s">
        <v>5929</v>
      </c>
      <c r="D3802" s="2" t="s">
        <v>4940</v>
      </c>
    </row>
    <row r="3803" spans="1:4" ht="13.05" customHeight="1" x14ac:dyDescent="0.3">
      <c r="A3803" s="2" t="s">
        <v>432</v>
      </c>
      <c r="B3803" s="2" t="s">
        <v>1054</v>
      </c>
      <c r="C3803" s="5" t="s">
        <v>5930</v>
      </c>
      <c r="D3803" s="2" t="s">
        <v>5156</v>
      </c>
    </row>
    <row r="3804" spans="1:4" ht="13.05" customHeight="1" x14ac:dyDescent="0.3">
      <c r="A3804" s="2" t="s">
        <v>432</v>
      </c>
      <c r="B3804" s="2" t="s">
        <v>1054</v>
      </c>
      <c r="C3804" s="5" t="s">
        <v>5931</v>
      </c>
      <c r="D3804" s="2" t="s">
        <v>4938</v>
      </c>
    </row>
    <row r="3805" spans="1:4" ht="13.05" customHeight="1" x14ac:dyDescent="0.3">
      <c r="A3805" s="2" t="s">
        <v>432</v>
      </c>
      <c r="B3805" s="2" t="s">
        <v>1054</v>
      </c>
      <c r="C3805" s="5" t="s">
        <v>5932</v>
      </c>
      <c r="D3805" s="2" t="s">
        <v>5933</v>
      </c>
    </row>
    <row r="3806" spans="1:4" ht="13.05" customHeight="1" x14ac:dyDescent="0.3">
      <c r="A3806" s="2" t="s">
        <v>432</v>
      </c>
      <c r="B3806" s="2" t="s">
        <v>1054</v>
      </c>
      <c r="C3806" s="5" t="s">
        <v>5934</v>
      </c>
      <c r="D3806" s="2" t="s">
        <v>5935</v>
      </c>
    </row>
    <row r="3807" spans="1:4" ht="13.05" customHeight="1" x14ac:dyDescent="0.3">
      <c r="A3807" s="2" t="s">
        <v>432</v>
      </c>
      <c r="B3807" s="2" t="s">
        <v>1054</v>
      </c>
      <c r="C3807" s="5" t="s">
        <v>5936</v>
      </c>
      <c r="D3807" s="2" t="s">
        <v>4506</v>
      </c>
    </row>
    <row r="3808" spans="1:4" ht="13.05" customHeight="1" x14ac:dyDescent="0.3">
      <c r="A3808" s="2" t="s">
        <v>432</v>
      </c>
      <c r="B3808" s="2" t="s">
        <v>1054</v>
      </c>
      <c r="C3808" s="5" t="s">
        <v>5937</v>
      </c>
      <c r="D3808" s="2" t="s">
        <v>5938</v>
      </c>
    </row>
    <row r="3809" spans="1:4" ht="13.05" customHeight="1" x14ac:dyDescent="0.3">
      <c r="A3809" s="2" t="s">
        <v>432</v>
      </c>
      <c r="B3809" s="2" t="s">
        <v>1054</v>
      </c>
      <c r="C3809" s="5" t="s">
        <v>5939</v>
      </c>
      <c r="D3809" s="2" t="s">
        <v>5940</v>
      </c>
    </row>
    <row r="3810" spans="1:4" ht="13.05" customHeight="1" x14ac:dyDescent="0.3">
      <c r="A3810" s="2" t="s">
        <v>432</v>
      </c>
      <c r="B3810" s="2" t="s">
        <v>1054</v>
      </c>
      <c r="C3810" s="5" t="s">
        <v>5941</v>
      </c>
      <c r="D3810" s="2" t="s">
        <v>5942</v>
      </c>
    </row>
    <row r="3811" spans="1:4" ht="13.05" customHeight="1" x14ac:dyDescent="0.3">
      <c r="A3811" s="2" t="s">
        <v>432</v>
      </c>
      <c r="B3811" s="2" t="s">
        <v>1054</v>
      </c>
      <c r="C3811" s="5" t="s">
        <v>5943</v>
      </c>
      <c r="D3811" s="2" t="s">
        <v>5944</v>
      </c>
    </row>
    <row r="3812" spans="1:4" ht="13.05" customHeight="1" x14ac:dyDescent="0.3">
      <c r="A3812" s="2" t="s">
        <v>432</v>
      </c>
      <c r="B3812" s="2" t="s">
        <v>1054</v>
      </c>
      <c r="C3812" s="5" t="s">
        <v>5945</v>
      </c>
      <c r="D3812" s="2" t="s">
        <v>5946</v>
      </c>
    </row>
    <row r="3813" spans="1:4" ht="13.05" customHeight="1" x14ac:dyDescent="0.3">
      <c r="A3813" s="2" t="s">
        <v>432</v>
      </c>
      <c r="B3813" s="2" t="s">
        <v>1054</v>
      </c>
      <c r="C3813" s="5" t="s">
        <v>5947</v>
      </c>
      <c r="D3813" s="2" t="s">
        <v>5948</v>
      </c>
    </row>
    <row r="3814" spans="1:4" ht="13.05" customHeight="1" x14ac:dyDescent="0.3">
      <c r="A3814" s="2" t="s">
        <v>432</v>
      </c>
      <c r="B3814" s="2" t="s">
        <v>1054</v>
      </c>
      <c r="C3814" s="5" t="s">
        <v>5949</v>
      </c>
      <c r="D3814" s="2" t="s">
        <v>5950</v>
      </c>
    </row>
    <row r="3815" spans="1:4" ht="13.05" customHeight="1" x14ac:dyDescent="0.3">
      <c r="A3815" s="2" t="s">
        <v>432</v>
      </c>
      <c r="B3815" s="2" t="s">
        <v>1054</v>
      </c>
      <c r="C3815" s="5" t="s">
        <v>5951</v>
      </c>
      <c r="D3815" s="2" t="s">
        <v>5952</v>
      </c>
    </row>
    <row r="3816" spans="1:4" ht="13.05" customHeight="1" x14ac:dyDescent="0.3">
      <c r="A3816" s="2" t="s">
        <v>432</v>
      </c>
      <c r="B3816" s="2" t="s">
        <v>1054</v>
      </c>
      <c r="C3816" s="5" t="s">
        <v>5953</v>
      </c>
      <c r="D3816" s="2" t="s">
        <v>5954</v>
      </c>
    </row>
    <row r="3817" spans="1:4" ht="13.05" customHeight="1" x14ac:dyDescent="0.3">
      <c r="A3817" s="2" t="s">
        <v>432</v>
      </c>
      <c r="B3817" s="2" t="s">
        <v>1054</v>
      </c>
      <c r="C3817" s="5" t="s">
        <v>5955</v>
      </c>
      <c r="D3817" s="2" t="s">
        <v>5956</v>
      </c>
    </row>
    <row r="3818" spans="1:4" ht="13.05" customHeight="1" x14ac:dyDescent="0.3">
      <c r="A3818" s="2" t="s">
        <v>432</v>
      </c>
      <c r="B3818" s="2" t="s">
        <v>1054</v>
      </c>
      <c r="C3818" s="5" t="s">
        <v>5957</v>
      </c>
      <c r="D3818" s="2" t="s">
        <v>5958</v>
      </c>
    </row>
    <row r="3819" spans="1:4" ht="13.05" customHeight="1" x14ac:dyDescent="0.3">
      <c r="A3819" s="2" t="s">
        <v>432</v>
      </c>
      <c r="B3819" s="2" t="s">
        <v>1054</v>
      </c>
      <c r="C3819" s="5" t="s">
        <v>5959</v>
      </c>
      <c r="D3819" s="2" t="s">
        <v>5960</v>
      </c>
    </row>
    <row r="3820" spans="1:4" ht="13.05" customHeight="1" x14ac:dyDescent="0.3">
      <c r="A3820" s="2" t="s">
        <v>432</v>
      </c>
      <c r="B3820" s="2" t="s">
        <v>1054</v>
      </c>
      <c r="C3820" s="5" t="s">
        <v>5961</v>
      </c>
      <c r="D3820" s="2" t="s">
        <v>5962</v>
      </c>
    </row>
    <row r="3821" spans="1:4" ht="13.05" customHeight="1" x14ac:dyDescent="0.3">
      <c r="A3821" s="2" t="s">
        <v>432</v>
      </c>
      <c r="B3821" s="2" t="s">
        <v>1054</v>
      </c>
      <c r="C3821" s="5" t="s">
        <v>5963</v>
      </c>
      <c r="D3821" s="2" t="s">
        <v>5964</v>
      </c>
    </row>
    <row r="3822" spans="1:4" ht="13.05" customHeight="1" x14ac:dyDescent="0.3">
      <c r="A3822" s="2" t="s">
        <v>432</v>
      </c>
      <c r="B3822" s="2" t="s">
        <v>1054</v>
      </c>
      <c r="C3822" s="5" t="s">
        <v>5965</v>
      </c>
      <c r="D3822" s="2" t="s">
        <v>4720</v>
      </c>
    </row>
    <row r="3823" spans="1:4" ht="13.05" customHeight="1" x14ac:dyDescent="0.3">
      <c r="A3823" s="2" t="s">
        <v>432</v>
      </c>
      <c r="B3823" s="2" t="s">
        <v>1054</v>
      </c>
      <c r="C3823" s="5" t="s">
        <v>5966</v>
      </c>
      <c r="D3823" s="2" t="s">
        <v>5967</v>
      </c>
    </row>
    <row r="3824" spans="1:4" ht="13.05" customHeight="1" x14ac:dyDescent="0.3">
      <c r="A3824" s="2" t="s">
        <v>432</v>
      </c>
      <c r="B3824" s="2" t="s">
        <v>1054</v>
      </c>
      <c r="C3824" s="5" t="s">
        <v>5968</v>
      </c>
      <c r="D3824" s="2" t="s">
        <v>5969</v>
      </c>
    </row>
    <row r="3825" spans="1:4" ht="13.05" customHeight="1" x14ac:dyDescent="0.3">
      <c r="A3825" s="2" t="s">
        <v>432</v>
      </c>
      <c r="B3825" s="2" t="s">
        <v>1054</v>
      </c>
      <c r="C3825" s="5" t="s">
        <v>5970</v>
      </c>
      <c r="D3825" s="2" t="s">
        <v>5971</v>
      </c>
    </row>
    <row r="3826" spans="1:4" ht="13.05" customHeight="1" x14ac:dyDescent="0.3">
      <c r="A3826" s="2" t="s">
        <v>432</v>
      </c>
      <c r="B3826" s="2" t="s">
        <v>1054</v>
      </c>
      <c r="C3826" s="5" t="s">
        <v>5972</v>
      </c>
      <c r="D3826" s="2" t="s">
        <v>5973</v>
      </c>
    </row>
    <row r="3827" spans="1:4" ht="13.05" customHeight="1" x14ac:dyDescent="0.3">
      <c r="A3827" s="2" t="s">
        <v>432</v>
      </c>
      <c r="B3827" s="2" t="s">
        <v>1054</v>
      </c>
      <c r="C3827" s="5" t="s">
        <v>5974</v>
      </c>
      <c r="D3827" s="2" t="s">
        <v>5975</v>
      </c>
    </row>
    <row r="3828" spans="1:4" ht="13.05" customHeight="1" x14ac:dyDescent="0.3">
      <c r="A3828" s="2" t="s">
        <v>432</v>
      </c>
      <c r="B3828" s="2" t="s">
        <v>1054</v>
      </c>
      <c r="C3828" s="5" t="s">
        <v>5976</v>
      </c>
      <c r="D3828" s="2" t="s">
        <v>5977</v>
      </c>
    </row>
    <row r="3829" spans="1:4" ht="13.05" customHeight="1" x14ac:dyDescent="0.3">
      <c r="A3829" s="2" t="s">
        <v>432</v>
      </c>
      <c r="B3829" s="2" t="s">
        <v>1054</v>
      </c>
      <c r="C3829" s="5" t="s">
        <v>5978</v>
      </c>
      <c r="D3829" s="2" t="s">
        <v>5979</v>
      </c>
    </row>
    <row r="3830" spans="1:4" ht="13.05" customHeight="1" x14ac:dyDescent="0.3">
      <c r="A3830" s="2" t="s">
        <v>432</v>
      </c>
      <c r="B3830" s="2" t="s">
        <v>1054</v>
      </c>
      <c r="C3830" s="5" t="s">
        <v>5980</v>
      </c>
      <c r="D3830" s="2" t="s">
        <v>5981</v>
      </c>
    </row>
    <row r="3831" spans="1:4" ht="13.05" customHeight="1" x14ac:dyDescent="0.3">
      <c r="A3831" s="2" t="s">
        <v>432</v>
      </c>
      <c r="B3831" s="2" t="s">
        <v>1054</v>
      </c>
      <c r="C3831" s="5" t="s">
        <v>5982</v>
      </c>
      <c r="D3831" s="2" t="s">
        <v>5983</v>
      </c>
    </row>
    <row r="3832" spans="1:4" ht="13.05" customHeight="1" x14ac:dyDescent="0.3">
      <c r="A3832" s="2" t="s">
        <v>432</v>
      </c>
      <c r="B3832" s="2" t="s">
        <v>1054</v>
      </c>
      <c r="C3832" s="5" t="s">
        <v>5984</v>
      </c>
      <c r="D3832" s="2" t="s">
        <v>4724</v>
      </c>
    </row>
    <row r="3833" spans="1:4" ht="13.05" customHeight="1" x14ac:dyDescent="0.3">
      <c r="A3833" s="2" t="s">
        <v>432</v>
      </c>
      <c r="B3833" s="2" t="s">
        <v>1054</v>
      </c>
      <c r="C3833" s="5" t="s">
        <v>5985</v>
      </c>
      <c r="D3833" s="2" t="s">
        <v>3395</v>
      </c>
    </row>
    <row r="3834" spans="1:4" ht="13.05" customHeight="1" x14ac:dyDescent="0.3">
      <c r="A3834" s="2" t="s">
        <v>432</v>
      </c>
      <c r="B3834" s="2" t="s">
        <v>1054</v>
      </c>
      <c r="C3834" s="5" t="s">
        <v>5986</v>
      </c>
      <c r="D3834" s="2" t="s">
        <v>3770</v>
      </c>
    </row>
    <row r="3835" spans="1:4" ht="13.05" customHeight="1" x14ac:dyDescent="0.3">
      <c r="A3835" s="2" t="s">
        <v>432</v>
      </c>
      <c r="B3835" s="2" t="s">
        <v>1054</v>
      </c>
      <c r="C3835" s="5" t="s">
        <v>5987</v>
      </c>
      <c r="D3835" s="2" t="s">
        <v>3401</v>
      </c>
    </row>
    <row r="3836" spans="1:4" ht="13.05" customHeight="1" x14ac:dyDescent="0.3">
      <c r="A3836" s="2" t="s">
        <v>432</v>
      </c>
      <c r="B3836" s="2" t="s">
        <v>1054</v>
      </c>
      <c r="C3836" s="5" t="s">
        <v>5988</v>
      </c>
      <c r="D3836" s="2" t="s">
        <v>5989</v>
      </c>
    </row>
    <row r="3837" spans="1:4" ht="13.05" customHeight="1" x14ac:dyDescent="0.3">
      <c r="A3837" s="2" t="s">
        <v>432</v>
      </c>
      <c r="B3837" s="2" t="s">
        <v>1054</v>
      </c>
      <c r="C3837" s="5" t="s">
        <v>5990</v>
      </c>
      <c r="D3837" s="2" t="s">
        <v>4560</v>
      </c>
    </row>
    <row r="3838" spans="1:4" ht="13.05" customHeight="1" x14ac:dyDescent="0.3">
      <c r="A3838" s="2" t="s">
        <v>432</v>
      </c>
      <c r="B3838" s="2" t="s">
        <v>1054</v>
      </c>
      <c r="C3838" s="5" t="s">
        <v>5991</v>
      </c>
      <c r="D3838" s="2" t="s">
        <v>5992</v>
      </c>
    </row>
    <row r="3839" spans="1:4" ht="13.05" customHeight="1" x14ac:dyDescent="0.3">
      <c r="A3839" s="2" t="s">
        <v>432</v>
      </c>
      <c r="B3839" s="2" t="s">
        <v>1054</v>
      </c>
      <c r="C3839" s="5" t="s">
        <v>5993</v>
      </c>
      <c r="D3839" s="2" t="s">
        <v>5994</v>
      </c>
    </row>
    <row r="3840" spans="1:4" ht="13.05" customHeight="1" x14ac:dyDescent="0.3">
      <c r="A3840" s="2" t="s">
        <v>432</v>
      </c>
      <c r="B3840" s="2" t="s">
        <v>1054</v>
      </c>
      <c r="C3840" s="5" t="s">
        <v>5995</v>
      </c>
      <c r="D3840" s="2" t="s">
        <v>5156</v>
      </c>
    </row>
    <row r="3841" spans="1:4" ht="13.05" customHeight="1" x14ac:dyDescent="0.3">
      <c r="A3841" s="2" t="s">
        <v>432</v>
      </c>
      <c r="B3841" s="2" t="s">
        <v>1054</v>
      </c>
      <c r="C3841" s="5" t="s">
        <v>5996</v>
      </c>
      <c r="D3841" s="2" t="s">
        <v>4938</v>
      </c>
    </row>
    <row r="3842" spans="1:4" ht="13.05" customHeight="1" x14ac:dyDescent="0.3">
      <c r="A3842" s="2" t="s">
        <v>432</v>
      </c>
      <c r="B3842" s="2" t="s">
        <v>1054</v>
      </c>
      <c r="C3842" s="5" t="s">
        <v>5997</v>
      </c>
      <c r="D3842" s="2" t="s">
        <v>4500</v>
      </c>
    </row>
    <row r="3843" spans="1:4" ht="13.05" customHeight="1" x14ac:dyDescent="0.3">
      <c r="A3843" s="2" t="s">
        <v>432</v>
      </c>
      <c r="B3843" s="2" t="s">
        <v>1054</v>
      </c>
      <c r="C3843" s="5" t="s">
        <v>5998</v>
      </c>
      <c r="D3843" s="2" t="s">
        <v>5160</v>
      </c>
    </row>
    <row r="3844" spans="1:4" ht="13.05" customHeight="1" x14ac:dyDescent="0.3">
      <c r="A3844" s="2" t="s">
        <v>432</v>
      </c>
      <c r="B3844" s="2" t="s">
        <v>1054</v>
      </c>
      <c r="C3844" s="5" t="s">
        <v>5999</v>
      </c>
      <c r="D3844" s="2" t="s">
        <v>4502</v>
      </c>
    </row>
    <row r="3845" spans="1:4" ht="13.05" customHeight="1" x14ac:dyDescent="0.3">
      <c r="A3845" s="2" t="s">
        <v>432</v>
      </c>
      <c r="B3845" s="2" t="s">
        <v>1054</v>
      </c>
      <c r="C3845" s="5" t="s">
        <v>6000</v>
      </c>
      <c r="D3845" s="2" t="s">
        <v>5163</v>
      </c>
    </row>
    <row r="3846" spans="1:4" ht="13.05" customHeight="1" x14ac:dyDescent="0.3">
      <c r="A3846" s="2" t="s">
        <v>432</v>
      </c>
      <c r="B3846" s="2" t="s">
        <v>1054</v>
      </c>
      <c r="C3846" s="5" t="s">
        <v>6001</v>
      </c>
      <c r="D3846" s="2" t="s">
        <v>4940</v>
      </c>
    </row>
    <row r="3847" spans="1:4" ht="13.05" customHeight="1" x14ac:dyDescent="0.3">
      <c r="A3847" s="2" t="s">
        <v>432</v>
      </c>
      <c r="B3847" s="2" t="s">
        <v>1054</v>
      </c>
      <c r="C3847" s="5" t="s">
        <v>6002</v>
      </c>
      <c r="D3847" s="2" t="s">
        <v>6003</v>
      </c>
    </row>
    <row r="3848" spans="1:4" ht="13.05" customHeight="1" x14ac:dyDescent="0.3">
      <c r="A3848" s="2" t="s">
        <v>432</v>
      </c>
      <c r="B3848" s="2" t="s">
        <v>1054</v>
      </c>
      <c r="C3848" s="5" t="s">
        <v>6004</v>
      </c>
      <c r="D3848" s="2" t="s">
        <v>6005</v>
      </c>
    </row>
    <row r="3849" spans="1:4" ht="13.05" customHeight="1" x14ac:dyDescent="0.3">
      <c r="A3849" s="2" t="s">
        <v>432</v>
      </c>
      <c r="B3849" s="2" t="s">
        <v>1054</v>
      </c>
      <c r="C3849" s="5" t="s">
        <v>6006</v>
      </c>
      <c r="D3849" s="2" t="s">
        <v>6007</v>
      </c>
    </row>
    <row r="3850" spans="1:4" ht="13.05" customHeight="1" x14ac:dyDescent="0.3">
      <c r="A3850" s="2" t="s">
        <v>432</v>
      </c>
      <c r="B3850" s="2" t="s">
        <v>1054</v>
      </c>
      <c r="C3850" s="5" t="s">
        <v>6008</v>
      </c>
      <c r="D3850" s="2" t="s">
        <v>6009</v>
      </c>
    </row>
    <row r="3851" spans="1:4" ht="13.05" customHeight="1" x14ac:dyDescent="0.3">
      <c r="A3851" s="2" t="s">
        <v>432</v>
      </c>
      <c r="B3851" s="2" t="s">
        <v>1054</v>
      </c>
      <c r="C3851" s="5" t="s">
        <v>6010</v>
      </c>
      <c r="D3851" s="2" t="s">
        <v>6011</v>
      </c>
    </row>
    <row r="3852" spans="1:4" ht="13.05" customHeight="1" x14ac:dyDescent="0.3">
      <c r="A3852" s="2" t="s">
        <v>432</v>
      </c>
      <c r="B3852" s="2" t="s">
        <v>1054</v>
      </c>
      <c r="C3852" s="5" t="s">
        <v>6012</v>
      </c>
      <c r="D3852" s="2" t="s">
        <v>5954</v>
      </c>
    </row>
    <row r="3853" spans="1:4" ht="13.05" customHeight="1" x14ac:dyDescent="0.3">
      <c r="A3853" s="2" t="s">
        <v>432</v>
      </c>
      <c r="B3853" s="2" t="s">
        <v>1054</v>
      </c>
      <c r="C3853" s="5" t="s">
        <v>6013</v>
      </c>
      <c r="D3853" s="2" t="s">
        <v>6014</v>
      </c>
    </row>
    <row r="3854" spans="1:4" ht="13.05" customHeight="1" x14ac:dyDescent="0.3">
      <c r="A3854" s="2" t="s">
        <v>432</v>
      </c>
      <c r="B3854" s="2" t="s">
        <v>1054</v>
      </c>
      <c r="C3854" s="5" t="s">
        <v>6015</v>
      </c>
      <c r="D3854" s="2" t="s">
        <v>6016</v>
      </c>
    </row>
    <row r="3855" spans="1:4" ht="13.05" customHeight="1" x14ac:dyDescent="0.3">
      <c r="A3855" s="2" t="s">
        <v>432</v>
      </c>
      <c r="B3855" s="2" t="s">
        <v>1054</v>
      </c>
      <c r="C3855" s="5" t="s">
        <v>6017</v>
      </c>
      <c r="D3855" s="2" t="s">
        <v>6018</v>
      </c>
    </row>
    <row r="3856" spans="1:4" ht="13.05" customHeight="1" x14ac:dyDescent="0.3">
      <c r="A3856" s="2" t="s">
        <v>432</v>
      </c>
      <c r="B3856" s="2" t="s">
        <v>1054</v>
      </c>
      <c r="C3856" s="5" t="s">
        <v>6019</v>
      </c>
      <c r="D3856" s="2" t="s">
        <v>6020</v>
      </c>
    </row>
    <row r="3857" spans="1:4" ht="13.05" customHeight="1" x14ac:dyDescent="0.3">
      <c r="A3857" s="2" t="s">
        <v>432</v>
      </c>
      <c r="B3857" s="2" t="s">
        <v>1054</v>
      </c>
      <c r="C3857" s="5" t="s">
        <v>6021</v>
      </c>
      <c r="D3857" s="2" t="s">
        <v>3765</v>
      </c>
    </row>
    <row r="3858" spans="1:4" ht="13.05" customHeight="1" x14ac:dyDescent="0.3">
      <c r="A3858" s="2" t="s">
        <v>432</v>
      </c>
      <c r="B3858" s="2" t="s">
        <v>1054</v>
      </c>
      <c r="C3858" s="5" t="s">
        <v>6022</v>
      </c>
      <c r="D3858" s="2" t="s">
        <v>3578</v>
      </c>
    </row>
    <row r="3859" spans="1:4" ht="13.05" customHeight="1" x14ac:dyDescent="0.3">
      <c r="A3859" s="2" t="s">
        <v>432</v>
      </c>
      <c r="B3859" s="2" t="s">
        <v>1054</v>
      </c>
      <c r="C3859" s="5" t="s">
        <v>6023</v>
      </c>
      <c r="D3859" s="2" t="s">
        <v>6024</v>
      </c>
    </row>
    <row r="3860" spans="1:4" ht="13.05" customHeight="1" x14ac:dyDescent="0.3">
      <c r="A3860" s="2" t="s">
        <v>432</v>
      </c>
      <c r="B3860" s="2" t="s">
        <v>1054</v>
      </c>
      <c r="C3860" s="5" t="s">
        <v>6025</v>
      </c>
      <c r="D3860" s="2" t="s">
        <v>6026</v>
      </c>
    </row>
    <row r="3861" spans="1:4" ht="13.05" customHeight="1" x14ac:dyDescent="0.3">
      <c r="A3861" s="2" t="s">
        <v>432</v>
      </c>
      <c r="B3861" s="2" t="s">
        <v>1054</v>
      </c>
      <c r="C3861" s="5" t="s">
        <v>6027</v>
      </c>
      <c r="D3861" s="2" t="s">
        <v>6028</v>
      </c>
    </row>
    <row r="3862" spans="1:4" ht="13.05" customHeight="1" x14ac:dyDescent="0.3">
      <c r="A3862" s="2" t="s">
        <v>432</v>
      </c>
      <c r="B3862" s="2" t="s">
        <v>1054</v>
      </c>
      <c r="C3862" s="5" t="s">
        <v>6029</v>
      </c>
      <c r="D3862" s="2" t="s">
        <v>6030</v>
      </c>
    </row>
    <row r="3863" spans="1:4" ht="13.05" customHeight="1" x14ac:dyDescent="0.3">
      <c r="A3863" s="2" t="s">
        <v>432</v>
      </c>
      <c r="B3863" s="2" t="s">
        <v>1054</v>
      </c>
      <c r="C3863" s="5" t="s">
        <v>6031</v>
      </c>
      <c r="D3863" s="2" t="s">
        <v>3770</v>
      </c>
    </row>
    <row r="3864" spans="1:4" ht="13.05" customHeight="1" x14ac:dyDescent="0.3">
      <c r="A3864" s="2" t="s">
        <v>432</v>
      </c>
      <c r="B3864" s="2" t="s">
        <v>1054</v>
      </c>
      <c r="C3864" s="5" t="s">
        <v>6032</v>
      </c>
      <c r="D3864" s="2" t="s">
        <v>4729</v>
      </c>
    </row>
    <row r="3865" spans="1:4" ht="13.05" customHeight="1" x14ac:dyDescent="0.3">
      <c r="A3865" s="2" t="s">
        <v>432</v>
      </c>
      <c r="B3865" s="2" t="s">
        <v>1054</v>
      </c>
      <c r="C3865" s="5" t="s">
        <v>6033</v>
      </c>
      <c r="D3865" s="2" t="s">
        <v>1083</v>
      </c>
    </row>
    <row r="3866" spans="1:4" ht="13.05" customHeight="1" x14ac:dyDescent="0.3">
      <c r="A3866" s="2" t="s">
        <v>432</v>
      </c>
      <c r="B3866" s="2" t="s">
        <v>1054</v>
      </c>
      <c r="C3866" s="5" t="s">
        <v>6034</v>
      </c>
      <c r="D3866" s="2" t="s">
        <v>3401</v>
      </c>
    </row>
    <row r="3867" spans="1:4" ht="13.05" customHeight="1" x14ac:dyDescent="0.3">
      <c r="A3867" s="2" t="s">
        <v>432</v>
      </c>
      <c r="B3867" s="2" t="s">
        <v>1054</v>
      </c>
      <c r="C3867" s="5" t="s">
        <v>6035</v>
      </c>
      <c r="D3867" s="2" t="s">
        <v>6036</v>
      </c>
    </row>
    <row r="3868" spans="1:4" ht="13.05" customHeight="1" x14ac:dyDescent="0.3">
      <c r="A3868" s="2" t="s">
        <v>435</v>
      </c>
      <c r="B3868" s="2" t="s">
        <v>1054</v>
      </c>
      <c r="C3868" s="5" t="s">
        <v>1044</v>
      </c>
      <c r="D3868" s="2" t="s">
        <v>1045</v>
      </c>
    </row>
    <row r="3869" spans="1:4" ht="13.05" customHeight="1" x14ac:dyDescent="0.3">
      <c r="A3869" s="2" t="s">
        <v>435</v>
      </c>
      <c r="B3869" s="2" t="s">
        <v>1054</v>
      </c>
      <c r="C3869" s="5" t="s">
        <v>1019</v>
      </c>
      <c r="D3869" s="2" t="s">
        <v>1020</v>
      </c>
    </row>
    <row r="3870" spans="1:4" ht="13.05" customHeight="1" x14ac:dyDescent="0.3">
      <c r="A3870" s="2" t="s">
        <v>438</v>
      </c>
      <c r="B3870" s="2" t="s">
        <v>1033</v>
      </c>
      <c r="C3870" s="5" t="s">
        <v>1044</v>
      </c>
      <c r="D3870" s="2" t="s">
        <v>1045</v>
      </c>
    </row>
    <row r="3871" spans="1:4" ht="13.05" customHeight="1" x14ac:dyDescent="0.3">
      <c r="A3871" s="2" t="s">
        <v>438</v>
      </c>
      <c r="B3871" s="2" t="s">
        <v>1033</v>
      </c>
      <c r="C3871" s="5" t="s">
        <v>1021</v>
      </c>
      <c r="D3871" s="2" t="s">
        <v>6037</v>
      </c>
    </row>
    <row r="3872" spans="1:4" ht="13.05" customHeight="1" x14ac:dyDescent="0.3">
      <c r="A3872" s="2" t="s">
        <v>438</v>
      </c>
      <c r="B3872" s="2" t="s">
        <v>1033</v>
      </c>
      <c r="C3872" s="5" t="s">
        <v>1023</v>
      </c>
      <c r="D3872" s="2" t="s">
        <v>6038</v>
      </c>
    </row>
    <row r="3873" spans="1:4" ht="13.05" customHeight="1" x14ac:dyDescent="0.3">
      <c r="A3873" s="2" t="s">
        <v>438</v>
      </c>
      <c r="B3873" s="2" t="s">
        <v>1033</v>
      </c>
      <c r="C3873" s="5" t="s">
        <v>1025</v>
      </c>
      <c r="D3873" s="2" t="s">
        <v>6039</v>
      </c>
    </row>
    <row r="3874" spans="1:4" ht="13.05" customHeight="1" x14ac:dyDescent="0.3">
      <c r="A3874" s="2" t="s">
        <v>438</v>
      </c>
      <c r="B3874" s="2" t="s">
        <v>1033</v>
      </c>
      <c r="C3874" s="5" t="s">
        <v>1027</v>
      </c>
      <c r="D3874" s="2" t="s">
        <v>6040</v>
      </c>
    </row>
    <row r="3875" spans="1:4" ht="13.05" customHeight="1" x14ac:dyDescent="0.3">
      <c r="A3875" s="2" t="s">
        <v>440</v>
      </c>
      <c r="B3875" s="2" t="s">
        <v>1033</v>
      </c>
      <c r="C3875" s="5" t="s">
        <v>1044</v>
      </c>
      <c r="D3875" s="2" t="s">
        <v>1045</v>
      </c>
    </row>
    <row r="3876" spans="1:4" ht="13.05" customHeight="1" x14ac:dyDescent="0.3">
      <c r="A3876" s="2" t="s">
        <v>440</v>
      </c>
      <c r="B3876" s="2" t="s">
        <v>1033</v>
      </c>
      <c r="C3876" s="5" t="s">
        <v>1021</v>
      </c>
      <c r="D3876" s="2" t="s">
        <v>6041</v>
      </c>
    </row>
    <row r="3877" spans="1:4" ht="13.05" customHeight="1" x14ac:dyDescent="0.3">
      <c r="A3877" s="2" t="s">
        <v>440</v>
      </c>
      <c r="B3877" s="2" t="s">
        <v>1033</v>
      </c>
      <c r="C3877" s="5" t="s">
        <v>1023</v>
      </c>
      <c r="D3877" s="2" t="s">
        <v>6042</v>
      </c>
    </row>
    <row r="3878" spans="1:4" ht="13.05" customHeight="1" x14ac:dyDescent="0.3">
      <c r="A3878" s="2" t="s">
        <v>440</v>
      </c>
      <c r="B3878" s="2" t="s">
        <v>1033</v>
      </c>
      <c r="C3878" s="5" t="s">
        <v>1025</v>
      </c>
      <c r="D3878" s="2" t="s">
        <v>6043</v>
      </c>
    </row>
    <row r="3879" spans="1:4" ht="13.05" customHeight="1" x14ac:dyDescent="0.3">
      <c r="A3879" s="2" t="s">
        <v>440</v>
      </c>
      <c r="B3879" s="2" t="s">
        <v>1033</v>
      </c>
      <c r="C3879" s="5" t="s">
        <v>1027</v>
      </c>
      <c r="D3879" s="2" t="s">
        <v>6044</v>
      </c>
    </row>
    <row r="3880" spans="1:4" ht="13.05" customHeight="1" x14ac:dyDescent="0.3">
      <c r="A3880" s="2" t="s">
        <v>440</v>
      </c>
      <c r="B3880" s="2" t="s">
        <v>1033</v>
      </c>
      <c r="C3880" s="5" t="s">
        <v>1029</v>
      </c>
      <c r="D3880" s="2" t="s">
        <v>6045</v>
      </c>
    </row>
    <row r="3881" spans="1:4" ht="13.05" customHeight="1" x14ac:dyDescent="0.3">
      <c r="A3881" s="2" t="s">
        <v>440</v>
      </c>
      <c r="B3881" s="2" t="s">
        <v>1033</v>
      </c>
      <c r="C3881" s="5" t="s">
        <v>1031</v>
      </c>
      <c r="D3881" s="2" t="s">
        <v>6046</v>
      </c>
    </row>
    <row r="3882" spans="1:4" ht="13.05" customHeight="1" x14ac:dyDescent="0.3">
      <c r="A3882" s="2" t="s">
        <v>442</v>
      </c>
      <c r="B3882" s="2" t="s">
        <v>1014</v>
      </c>
      <c r="C3882" s="5" t="s">
        <v>1044</v>
      </c>
      <c r="D3882" s="2" t="s">
        <v>1045</v>
      </c>
    </row>
    <row r="3883" spans="1:4" ht="13.05" customHeight="1" x14ac:dyDescent="0.3">
      <c r="A3883" s="2" t="s">
        <v>442</v>
      </c>
      <c r="B3883" s="2" t="s">
        <v>1014</v>
      </c>
      <c r="C3883" s="5" t="s">
        <v>1015</v>
      </c>
      <c r="D3883" s="2" t="s">
        <v>1092</v>
      </c>
    </row>
    <row r="3884" spans="1:4" ht="13.05" customHeight="1" x14ac:dyDescent="0.3">
      <c r="A3884" s="2" t="s">
        <v>442</v>
      </c>
      <c r="B3884" s="2" t="s">
        <v>1014</v>
      </c>
      <c r="C3884" s="5" t="s">
        <v>1017</v>
      </c>
      <c r="D3884" s="2" t="s">
        <v>1086</v>
      </c>
    </row>
    <row r="3885" spans="1:4" ht="13.05" customHeight="1" x14ac:dyDescent="0.3">
      <c r="A3885" s="2" t="s">
        <v>445</v>
      </c>
      <c r="B3885" s="2" t="s">
        <v>1014</v>
      </c>
      <c r="C3885" s="5" t="s">
        <v>1044</v>
      </c>
      <c r="D3885" s="2" t="s">
        <v>1045</v>
      </c>
    </row>
    <row r="3886" spans="1:4" ht="13.05" customHeight="1" x14ac:dyDescent="0.3">
      <c r="A3886" s="2" t="s">
        <v>445</v>
      </c>
      <c r="B3886" s="2" t="s">
        <v>1014</v>
      </c>
      <c r="C3886" s="5" t="s">
        <v>1015</v>
      </c>
      <c r="D3886" s="2" t="s">
        <v>1092</v>
      </c>
    </row>
    <row r="3887" spans="1:4" ht="13.05" customHeight="1" x14ac:dyDescent="0.3">
      <c r="A3887" s="2" t="s">
        <v>445</v>
      </c>
      <c r="B3887" s="2" t="s">
        <v>1014</v>
      </c>
      <c r="C3887" s="5" t="s">
        <v>1017</v>
      </c>
      <c r="D3887" s="2" t="s">
        <v>1086</v>
      </c>
    </row>
    <row r="3888" spans="1:4" ht="13.05" customHeight="1" x14ac:dyDescent="0.3">
      <c r="A3888" s="2" t="s">
        <v>445</v>
      </c>
      <c r="B3888" s="2" t="s">
        <v>1014</v>
      </c>
      <c r="C3888" s="5" t="s">
        <v>1019</v>
      </c>
      <c r="D3888" s="2" t="s">
        <v>1020</v>
      </c>
    </row>
    <row r="3889" spans="1:4" ht="13.05" customHeight="1" x14ac:dyDescent="0.3">
      <c r="A3889" s="2" t="s">
        <v>448</v>
      </c>
      <c r="B3889" s="2" t="s">
        <v>1199</v>
      </c>
      <c r="C3889" s="5" t="s">
        <v>1044</v>
      </c>
      <c r="D3889" s="2" t="s">
        <v>1045</v>
      </c>
    </row>
    <row r="3890" spans="1:4" ht="13.05" customHeight="1" x14ac:dyDescent="0.3">
      <c r="A3890" s="2" t="s">
        <v>452</v>
      </c>
      <c r="B3890" s="2" t="s">
        <v>1199</v>
      </c>
      <c r="C3890" s="5" t="s">
        <v>1044</v>
      </c>
      <c r="D3890" s="2" t="s">
        <v>1045</v>
      </c>
    </row>
    <row r="3891" spans="1:4" ht="13.05" customHeight="1" x14ac:dyDescent="0.3">
      <c r="A3891" s="2" t="s">
        <v>454</v>
      </c>
      <c r="B3891" s="2" t="s">
        <v>1199</v>
      </c>
      <c r="C3891" s="5" t="s">
        <v>1044</v>
      </c>
      <c r="D3891" s="2" t="s">
        <v>1045</v>
      </c>
    </row>
    <row r="3892" spans="1:4" ht="13.05" customHeight="1" x14ac:dyDescent="0.3">
      <c r="A3892" s="2" t="s">
        <v>454</v>
      </c>
      <c r="B3892" s="2" t="s">
        <v>1199</v>
      </c>
      <c r="C3892" s="5" t="s">
        <v>1015</v>
      </c>
      <c r="D3892" s="2" t="s">
        <v>1092</v>
      </c>
    </row>
    <row r="3893" spans="1:4" ht="13.05" customHeight="1" x14ac:dyDescent="0.3">
      <c r="A3893" s="2" t="s">
        <v>454</v>
      </c>
      <c r="B3893" s="2" t="s">
        <v>1199</v>
      </c>
      <c r="C3893" s="5" t="s">
        <v>1017</v>
      </c>
      <c r="D3893" s="2" t="s">
        <v>1086</v>
      </c>
    </row>
    <row r="3894" spans="1:4" ht="13.05" customHeight="1" x14ac:dyDescent="0.3">
      <c r="A3894" s="2" t="s">
        <v>454</v>
      </c>
      <c r="B3894" s="2" t="s">
        <v>1199</v>
      </c>
      <c r="C3894" s="5" t="s">
        <v>1019</v>
      </c>
      <c r="D3894" s="2" t="s">
        <v>1020</v>
      </c>
    </row>
    <row r="3895" spans="1:4" ht="13.05" customHeight="1" x14ac:dyDescent="0.3">
      <c r="A3895" s="2" t="s">
        <v>457</v>
      </c>
      <c r="B3895" s="2" t="s">
        <v>1014</v>
      </c>
      <c r="C3895" s="5" t="s">
        <v>1044</v>
      </c>
      <c r="D3895" s="2" t="s">
        <v>1045</v>
      </c>
    </row>
    <row r="3896" spans="1:4" ht="13.05" customHeight="1" x14ac:dyDescent="0.3">
      <c r="A3896" s="2" t="s">
        <v>457</v>
      </c>
      <c r="B3896" s="2" t="s">
        <v>1014</v>
      </c>
      <c r="C3896" s="5" t="s">
        <v>1015</v>
      </c>
      <c r="D3896" s="2" t="s">
        <v>1016</v>
      </c>
    </row>
    <row r="3897" spans="1:4" ht="13.05" customHeight="1" x14ac:dyDescent="0.3">
      <c r="A3897" s="2" t="s">
        <v>457</v>
      </c>
      <c r="B3897" s="2" t="s">
        <v>1014</v>
      </c>
      <c r="C3897" s="5" t="s">
        <v>1017</v>
      </c>
      <c r="D3897" s="2" t="s">
        <v>1018</v>
      </c>
    </row>
    <row r="3898" spans="1:4" ht="13.05" customHeight="1" x14ac:dyDescent="0.3">
      <c r="A3898" s="2" t="s">
        <v>460</v>
      </c>
      <c r="B3898" s="2" t="s">
        <v>1014</v>
      </c>
      <c r="C3898" s="5" t="s">
        <v>1044</v>
      </c>
      <c r="D3898" s="2" t="s">
        <v>1045</v>
      </c>
    </row>
    <row r="3899" spans="1:4" ht="13.05" customHeight="1" x14ac:dyDescent="0.3">
      <c r="A3899" s="2" t="s">
        <v>460</v>
      </c>
      <c r="B3899" s="2" t="s">
        <v>1014</v>
      </c>
      <c r="C3899" s="5" t="s">
        <v>1015</v>
      </c>
      <c r="D3899" s="2" t="s">
        <v>1016</v>
      </c>
    </row>
    <row r="3900" spans="1:4" ht="13.05" customHeight="1" x14ac:dyDescent="0.3">
      <c r="A3900" s="2" t="s">
        <v>460</v>
      </c>
      <c r="B3900" s="2" t="s">
        <v>1014</v>
      </c>
      <c r="C3900" s="5" t="s">
        <v>1017</v>
      </c>
      <c r="D3900" s="2" t="s">
        <v>1018</v>
      </c>
    </row>
    <row r="3901" spans="1:4" ht="13.05" customHeight="1" x14ac:dyDescent="0.3">
      <c r="A3901" s="2" t="s">
        <v>460</v>
      </c>
      <c r="B3901" s="2" t="s">
        <v>1014</v>
      </c>
      <c r="C3901" s="5" t="s">
        <v>1019</v>
      </c>
      <c r="D3901" s="2" t="s">
        <v>1020</v>
      </c>
    </row>
    <row r="3902" spans="1:4" ht="13.05" customHeight="1" x14ac:dyDescent="0.3">
      <c r="A3902" s="2" t="s">
        <v>460</v>
      </c>
      <c r="B3902" s="2" t="s">
        <v>1014</v>
      </c>
      <c r="C3902" s="5" t="s">
        <v>1021</v>
      </c>
      <c r="D3902" s="2" t="s">
        <v>6047</v>
      </c>
    </row>
    <row r="3903" spans="1:4" ht="13.05" customHeight="1" x14ac:dyDescent="0.3">
      <c r="A3903" s="2" t="s">
        <v>460</v>
      </c>
      <c r="B3903" s="2" t="s">
        <v>1014</v>
      </c>
      <c r="C3903" s="5" t="s">
        <v>1023</v>
      </c>
      <c r="D3903" s="2" t="s">
        <v>6048</v>
      </c>
    </row>
    <row r="3904" spans="1:4" ht="13.05" customHeight="1" x14ac:dyDescent="0.3">
      <c r="A3904" s="2" t="s">
        <v>460</v>
      </c>
      <c r="B3904" s="2" t="s">
        <v>1014</v>
      </c>
      <c r="C3904" s="5" t="s">
        <v>1025</v>
      </c>
      <c r="D3904" s="2" t="s">
        <v>6049</v>
      </c>
    </row>
    <row r="3905" spans="1:4" ht="13.05" customHeight="1" x14ac:dyDescent="0.3">
      <c r="A3905" s="2" t="s">
        <v>460</v>
      </c>
      <c r="B3905" s="2" t="s">
        <v>1014</v>
      </c>
      <c r="C3905" s="5" t="s">
        <v>1027</v>
      </c>
      <c r="D3905" s="2" t="s">
        <v>6050</v>
      </c>
    </row>
    <row r="3906" spans="1:4" ht="13.05" customHeight="1" x14ac:dyDescent="0.3">
      <c r="A3906" s="2" t="s">
        <v>460</v>
      </c>
      <c r="B3906" s="2" t="s">
        <v>1014</v>
      </c>
      <c r="C3906" s="5" t="s">
        <v>1052</v>
      </c>
      <c r="D3906" s="2" t="s">
        <v>1083</v>
      </c>
    </row>
    <row r="3907" spans="1:4" ht="13.05" customHeight="1" x14ac:dyDescent="0.3">
      <c r="A3907" s="2" t="s">
        <v>463</v>
      </c>
      <c r="B3907" s="2" t="s">
        <v>1054</v>
      </c>
      <c r="C3907" s="5" t="s">
        <v>1213</v>
      </c>
      <c r="D3907" s="2" t="s">
        <v>1016</v>
      </c>
    </row>
    <row r="3908" spans="1:4" ht="13.05" customHeight="1" x14ac:dyDescent="0.3">
      <c r="A3908" s="2" t="s">
        <v>463</v>
      </c>
      <c r="B3908" s="2" t="s">
        <v>1054</v>
      </c>
      <c r="C3908" s="5" t="s">
        <v>1214</v>
      </c>
      <c r="D3908" s="2" t="s">
        <v>1018</v>
      </c>
    </row>
    <row r="3909" spans="1:4" ht="13.05" customHeight="1" x14ac:dyDescent="0.3">
      <c r="A3909" s="2" t="s">
        <v>463</v>
      </c>
      <c r="B3909" s="2" t="s">
        <v>1054</v>
      </c>
      <c r="C3909" s="5" t="s">
        <v>1044</v>
      </c>
      <c r="D3909" s="2" t="s">
        <v>1045</v>
      </c>
    </row>
    <row r="3910" spans="1:4" ht="13.05" customHeight="1" x14ac:dyDescent="0.3">
      <c r="A3910" s="2" t="s">
        <v>463</v>
      </c>
      <c r="B3910" s="2" t="s">
        <v>1054</v>
      </c>
      <c r="C3910" s="5" t="s">
        <v>1015</v>
      </c>
      <c r="D3910" s="2" t="s">
        <v>1016</v>
      </c>
    </row>
    <row r="3911" spans="1:4" ht="13.05" customHeight="1" x14ac:dyDescent="0.3">
      <c r="A3911" s="2" t="s">
        <v>463</v>
      </c>
      <c r="B3911" s="2" t="s">
        <v>1054</v>
      </c>
      <c r="C3911" s="5" t="s">
        <v>1017</v>
      </c>
      <c r="D3911" s="2" t="s">
        <v>1018</v>
      </c>
    </row>
    <row r="3912" spans="1:4" ht="13.05" customHeight="1" x14ac:dyDescent="0.3">
      <c r="A3912" s="2" t="s">
        <v>463</v>
      </c>
      <c r="B3912" s="2" t="s">
        <v>1054</v>
      </c>
      <c r="C3912" s="5" t="s">
        <v>1019</v>
      </c>
      <c r="D3912" s="2" t="s">
        <v>1020</v>
      </c>
    </row>
    <row r="3913" spans="1:4" ht="13.05" customHeight="1" x14ac:dyDescent="0.3">
      <c r="A3913" s="2" t="s">
        <v>466</v>
      </c>
      <c r="B3913" s="2" t="s">
        <v>1054</v>
      </c>
      <c r="C3913" s="5" t="s">
        <v>1044</v>
      </c>
      <c r="D3913" s="2" t="s">
        <v>1045</v>
      </c>
    </row>
    <row r="3914" spans="1:4" ht="13.05" customHeight="1" x14ac:dyDescent="0.3">
      <c r="A3914" s="2" t="s">
        <v>466</v>
      </c>
      <c r="B3914" s="2" t="s">
        <v>1054</v>
      </c>
      <c r="C3914" s="5" t="s">
        <v>1015</v>
      </c>
      <c r="D3914" s="2" t="s">
        <v>1016</v>
      </c>
    </row>
    <row r="3915" spans="1:4" ht="13.05" customHeight="1" x14ac:dyDescent="0.3">
      <c r="A3915" s="2" t="s">
        <v>466</v>
      </c>
      <c r="B3915" s="2" t="s">
        <v>1054</v>
      </c>
      <c r="C3915" s="5" t="s">
        <v>1017</v>
      </c>
      <c r="D3915" s="2" t="s">
        <v>1018</v>
      </c>
    </row>
    <row r="3916" spans="1:4" ht="13.05" customHeight="1" x14ac:dyDescent="0.3">
      <c r="A3916" s="2" t="s">
        <v>466</v>
      </c>
      <c r="B3916" s="2" t="s">
        <v>1054</v>
      </c>
      <c r="C3916" s="5" t="s">
        <v>1019</v>
      </c>
      <c r="D3916" s="2" t="s">
        <v>1020</v>
      </c>
    </row>
    <row r="3917" spans="1:4" ht="13.05" customHeight="1" x14ac:dyDescent="0.3">
      <c r="A3917" s="2" t="s">
        <v>468</v>
      </c>
      <c r="B3917" s="2" t="s">
        <v>1033</v>
      </c>
      <c r="C3917" s="5" t="s">
        <v>1015</v>
      </c>
      <c r="D3917" s="2" t="s">
        <v>1092</v>
      </c>
    </row>
    <row r="3918" spans="1:4" ht="13.05" customHeight="1" x14ac:dyDescent="0.3">
      <c r="A3918" s="2" t="s">
        <v>468</v>
      </c>
      <c r="B3918" s="2" t="s">
        <v>1033</v>
      </c>
      <c r="C3918" s="5" t="s">
        <v>1017</v>
      </c>
      <c r="D3918" s="2" t="s">
        <v>1018</v>
      </c>
    </row>
    <row r="3919" spans="1:4" ht="13.05" customHeight="1" x14ac:dyDescent="0.3">
      <c r="A3919" s="2" t="s">
        <v>468</v>
      </c>
      <c r="B3919" s="2" t="s">
        <v>1033</v>
      </c>
      <c r="C3919" s="5" t="s">
        <v>1019</v>
      </c>
      <c r="D3919" s="2" t="s">
        <v>1020</v>
      </c>
    </row>
    <row r="3920" spans="1:4" ht="13.05" customHeight="1" x14ac:dyDescent="0.3">
      <c r="A3920" s="2" t="s">
        <v>468</v>
      </c>
      <c r="B3920" s="2" t="s">
        <v>1033</v>
      </c>
      <c r="C3920" s="5" t="s">
        <v>1021</v>
      </c>
      <c r="D3920" s="2" t="s">
        <v>1087</v>
      </c>
    </row>
    <row r="3921" spans="1:4" ht="13.05" customHeight="1" x14ac:dyDescent="0.3">
      <c r="A3921" s="2" t="s">
        <v>468</v>
      </c>
      <c r="B3921" s="2" t="s">
        <v>1033</v>
      </c>
      <c r="C3921" s="5" t="s">
        <v>1023</v>
      </c>
      <c r="D3921" s="2" t="s">
        <v>1109</v>
      </c>
    </row>
    <row r="3922" spans="1:4" ht="13.05" customHeight="1" x14ac:dyDescent="0.3">
      <c r="A3922" s="2" t="s">
        <v>468</v>
      </c>
      <c r="B3922" s="2" t="s">
        <v>1033</v>
      </c>
      <c r="C3922" s="5" t="s">
        <v>1025</v>
      </c>
      <c r="D3922" s="2" t="s">
        <v>1089</v>
      </c>
    </row>
    <row r="3923" spans="1:4" ht="13.05" customHeight="1" x14ac:dyDescent="0.3">
      <c r="A3923" s="2" t="s">
        <v>468</v>
      </c>
      <c r="B3923" s="2" t="s">
        <v>1033</v>
      </c>
      <c r="C3923" s="5" t="s">
        <v>1027</v>
      </c>
      <c r="D3923" s="2" t="s">
        <v>1090</v>
      </c>
    </row>
    <row r="3924" spans="1:4" ht="13.05" customHeight="1" x14ac:dyDescent="0.3">
      <c r="A3924" s="2" t="s">
        <v>468</v>
      </c>
      <c r="B3924" s="2" t="s">
        <v>1033</v>
      </c>
      <c r="C3924" s="5" t="s">
        <v>1029</v>
      </c>
      <c r="D3924" s="2" t="s">
        <v>6051</v>
      </c>
    </row>
    <row r="3925" spans="1:4" ht="13.05" customHeight="1" x14ac:dyDescent="0.3">
      <c r="A3925" s="2" t="s">
        <v>471</v>
      </c>
      <c r="B3925" s="2" t="s">
        <v>1033</v>
      </c>
      <c r="C3925" s="5" t="s">
        <v>1044</v>
      </c>
      <c r="D3925" s="2" t="s">
        <v>1045</v>
      </c>
    </row>
    <row r="3926" spans="1:4" ht="13.05" customHeight="1" x14ac:dyDescent="0.3">
      <c r="A3926" s="2" t="s">
        <v>471</v>
      </c>
      <c r="B3926" s="2" t="s">
        <v>1033</v>
      </c>
      <c r="C3926" s="5" t="s">
        <v>1019</v>
      </c>
      <c r="D3926" s="2" t="s">
        <v>1020</v>
      </c>
    </row>
    <row r="3927" spans="1:4" ht="13.05" customHeight="1" x14ac:dyDescent="0.3">
      <c r="A3927" s="2" t="s">
        <v>473</v>
      </c>
      <c r="B3927" s="2" t="s">
        <v>1054</v>
      </c>
      <c r="C3927" s="5" t="s">
        <v>1044</v>
      </c>
      <c r="D3927" s="2" t="s">
        <v>1045</v>
      </c>
    </row>
    <row r="3928" spans="1:4" ht="13.05" customHeight="1" x14ac:dyDescent="0.3">
      <c r="A3928" s="2" t="s">
        <v>473</v>
      </c>
      <c r="B3928" s="2" t="s">
        <v>1054</v>
      </c>
      <c r="C3928" s="5" t="s">
        <v>1015</v>
      </c>
      <c r="D3928" s="2" t="s">
        <v>1016</v>
      </c>
    </row>
    <row r="3929" spans="1:4" ht="13.05" customHeight="1" x14ac:dyDescent="0.3">
      <c r="A3929" s="2" t="s">
        <v>473</v>
      </c>
      <c r="B3929" s="2" t="s">
        <v>1054</v>
      </c>
      <c r="C3929" s="5" t="s">
        <v>1017</v>
      </c>
      <c r="D3929" s="2" t="s">
        <v>1018</v>
      </c>
    </row>
    <row r="3930" spans="1:4" ht="13.05" customHeight="1" x14ac:dyDescent="0.3">
      <c r="A3930" s="2" t="s">
        <v>473</v>
      </c>
      <c r="B3930" s="2" t="s">
        <v>1054</v>
      </c>
      <c r="C3930" s="5" t="s">
        <v>1019</v>
      </c>
      <c r="D3930" s="2" t="s">
        <v>1020</v>
      </c>
    </row>
    <row r="3931" spans="1:4" ht="13.05" customHeight="1" x14ac:dyDescent="0.3">
      <c r="A3931" s="2" t="s">
        <v>475</v>
      </c>
      <c r="B3931" s="2" t="s">
        <v>1054</v>
      </c>
      <c r="C3931" s="5" t="s">
        <v>1213</v>
      </c>
      <c r="D3931" s="2" t="s">
        <v>1092</v>
      </c>
    </row>
    <row r="3932" spans="1:4" ht="13.05" customHeight="1" x14ac:dyDescent="0.3">
      <c r="A3932" s="2" t="s">
        <v>475</v>
      </c>
      <c r="B3932" s="2" t="s">
        <v>1054</v>
      </c>
      <c r="C3932" s="5" t="s">
        <v>1214</v>
      </c>
      <c r="D3932" s="2" t="s">
        <v>1018</v>
      </c>
    </row>
    <row r="3933" spans="1:4" ht="13.05" customHeight="1" x14ac:dyDescent="0.3">
      <c r="A3933" s="2" t="s">
        <v>475</v>
      </c>
      <c r="B3933" s="2" t="s">
        <v>1054</v>
      </c>
      <c r="C3933" s="5" t="s">
        <v>1044</v>
      </c>
      <c r="D3933" s="2" t="s">
        <v>1045</v>
      </c>
    </row>
    <row r="3934" spans="1:4" ht="13.05" customHeight="1" x14ac:dyDescent="0.3">
      <c r="A3934" s="2" t="s">
        <v>475</v>
      </c>
      <c r="B3934" s="2" t="s">
        <v>1054</v>
      </c>
      <c r="C3934" s="5" t="s">
        <v>1015</v>
      </c>
      <c r="D3934" s="2" t="s">
        <v>1092</v>
      </c>
    </row>
    <row r="3935" spans="1:4" ht="13.05" customHeight="1" x14ac:dyDescent="0.3">
      <c r="A3935" s="2" t="s">
        <v>475</v>
      </c>
      <c r="B3935" s="2" t="s">
        <v>1054</v>
      </c>
      <c r="C3935" s="5" t="s">
        <v>1017</v>
      </c>
      <c r="D3935" s="2" t="s">
        <v>1018</v>
      </c>
    </row>
    <row r="3936" spans="1:4" ht="13.05" customHeight="1" x14ac:dyDescent="0.3">
      <c r="A3936" s="2" t="s">
        <v>478</v>
      </c>
      <c r="B3936" s="2" t="s">
        <v>1054</v>
      </c>
      <c r="C3936" s="5" t="s">
        <v>1044</v>
      </c>
      <c r="D3936" s="2" t="s">
        <v>1045</v>
      </c>
    </row>
    <row r="3937" spans="1:4" ht="13.05" customHeight="1" x14ac:dyDescent="0.3">
      <c r="A3937" s="2" t="s">
        <v>478</v>
      </c>
      <c r="B3937" s="2" t="s">
        <v>1054</v>
      </c>
      <c r="C3937" s="5" t="s">
        <v>1015</v>
      </c>
      <c r="D3937" s="2" t="s">
        <v>1016</v>
      </c>
    </row>
    <row r="3938" spans="1:4" ht="13.05" customHeight="1" x14ac:dyDescent="0.3">
      <c r="A3938" s="2" t="s">
        <v>478</v>
      </c>
      <c r="B3938" s="2" t="s">
        <v>1054</v>
      </c>
      <c r="C3938" s="5" t="s">
        <v>1017</v>
      </c>
      <c r="D3938" s="2" t="s">
        <v>1018</v>
      </c>
    </row>
    <row r="3939" spans="1:4" ht="13.05" customHeight="1" x14ac:dyDescent="0.3">
      <c r="A3939" s="2" t="s">
        <v>478</v>
      </c>
      <c r="B3939" s="2" t="s">
        <v>1054</v>
      </c>
      <c r="C3939" s="5" t="s">
        <v>1019</v>
      </c>
      <c r="D3939" s="2" t="s">
        <v>1020</v>
      </c>
    </row>
    <row r="3940" spans="1:4" ht="13.05" customHeight="1" x14ac:dyDescent="0.3">
      <c r="A3940" s="2" t="s">
        <v>482</v>
      </c>
      <c r="B3940" s="2" t="s">
        <v>1199</v>
      </c>
      <c r="C3940" s="5" t="s">
        <v>1019</v>
      </c>
      <c r="D3940" s="2" t="s">
        <v>1020</v>
      </c>
    </row>
    <row r="3941" spans="1:4" ht="13.05" customHeight="1" x14ac:dyDescent="0.3">
      <c r="A3941" s="2" t="s">
        <v>482</v>
      </c>
      <c r="B3941" s="2" t="s">
        <v>1199</v>
      </c>
      <c r="C3941" s="5" t="s">
        <v>1021</v>
      </c>
      <c r="D3941" s="2" t="s">
        <v>1106</v>
      </c>
    </row>
    <row r="3942" spans="1:4" ht="13.05" customHeight="1" x14ac:dyDescent="0.3">
      <c r="A3942" s="2" t="s">
        <v>482</v>
      </c>
      <c r="B3942" s="2" t="s">
        <v>1199</v>
      </c>
      <c r="C3942" s="5" t="s">
        <v>1023</v>
      </c>
      <c r="D3942" s="2" t="s">
        <v>1107</v>
      </c>
    </row>
    <row r="3943" spans="1:4" ht="13.05" customHeight="1" x14ac:dyDescent="0.3">
      <c r="A3943" s="2" t="s">
        <v>484</v>
      </c>
      <c r="B3943" s="2" t="s">
        <v>1199</v>
      </c>
      <c r="C3943" s="5" t="s">
        <v>1019</v>
      </c>
      <c r="D3943" s="2" t="s">
        <v>1020</v>
      </c>
    </row>
    <row r="3944" spans="1:4" ht="13.05" customHeight="1" x14ac:dyDescent="0.3">
      <c r="A3944" s="2" t="s">
        <v>484</v>
      </c>
      <c r="B3944" s="2" t="s">
        <v>1199</v>
      </c>
      <c r="C3944" s="5" t="s">
        <v>1021</v>
      </c>
      <c r="D3944" s="2" t="s">
        <v>1106</v>
      </c>
    </row>
    <row r="3945" spans="1:4" ht="13.05" customHeight="1" x14ac:dyDescent="0.3">
      <c r="A3945" s="2" t="s">
        <v>484</v>
      </c>
      <c r="B3945" s="2" t="s">
        <v>1199</v>
      </c>
      <c r="C3945" s="5" t="s">
        <v>1023</v>
      </c>
      <c r="D3945" s="2" t="s">
        <v>1107</v>
      </c>
    </row>
    <row r="3946" spans="1:4" ht="13.05" customHeight="1" x14ac:dyDescent="0.3">
      <c r="A3946" s="2" t="s">
        <v>486</v>
      </c>
      <c r="B3946" s="2" t="s">
        <v>1199</v>
      </c>
      <c r="C3946" s="5" t="s">
        <v>1019</v>
      </c>
      <c r="D3946" s="2" t="s">
        <v>1020</v>
      </c>
    </row>
    <row r="3947" spans="1:4" ht="13.05" customHeight="1" x14ac:dyDescent="0.3">
      <c r="A3947" s="2" t="s">
        <v>486</v>
      </c>
      <c r="B3947" s="2" t="s">
        <v>1199</v>
      </c>
      <c r="C3947" s="5" t="s">
        <v>1021</v>
      </c>
      <c r="D3947" s="2" t="s">
        <v>1106</v>
      </c>
    </row>
    <row r="3948" spans="1:4" ht="13.05" customHeight="1" x14ac:dyDescent="0.3">
      <c r="A3948" s="2" t="s">
        <v>486</v>
      </c>
      <c r="B3948" s="2" t="s">
        <v>1199</v>
      </c>
      <c r="C3948" s="5" t="s">
        <v>1023</v>
      </c>
      <c r="D3948" s="2" t="s">
        <v>1107</v>
      </c>
    </row>
    <row r="3949" spans="1:4" ht="13.05" customHeight="1" x14ac:dyDescent="0.3">
      <c r="A3949" s="2" t="s">
        <v>488</v>
      </c>
      <c r="B3949" s="2" t="s">
        <v>1199</v>
      </c>
      <c r="C3949" s="5" t="s">
        <v>1019</v>
      </c>
      <c r="D3949" s="2" t="s">
        <v>1020</v>
      </c>
    </row>
    <row r="3950" spans="1:4" ht="13.05" customHeight="1" x14ac:dyDescent="0.3">
      <c r="A3950" s="2" t="s">
        <v>488</v>
      </c>
      <c r="B3950" s="2" t="s">
        <v>1199</v>
      </c>
      <c r="C3950" s="5" t="s">
        <v>1021</v>
      </c>
      <c r="D3950" s="2" t="s">
        <v>1106</v>
      </c>
    </row>
    <row r="3951" spans="1:4" ht="13.05" customHeight="1" x14ac:dyDescent="0.3">
      <c r="A3951" s="2" t="s">
        <v>488</v>
      </c>
      <c r="B3951" s="2" t="s">
        <v>1199</v>
      </c>
      <c r="C3951" s="5" t="s">
        <v>1023</v>
      </c>
      <c r="D3951" s="2" t="s">
        <v>1107</v>
      </c>
    </row>
    <row r="3952" spans="1:4" ht="13.05" customHeight="1" x14ac:dyDescent="0.3">
      <c r="A3952" s="2" t="s">
        <v>490</v>
      </c>
      <c r="B3952" s="2" t="s">
        <v>1199</v>
      </c>
      <c r="C3952" s="5" t="s">
        <v>1019</v>
      </c>
      <c r="D3952" s="2" t="s">
        <v>1020</v>
      </c>
    </row>
    <row r="3953" spans="1:4" ht="13.05" customHeight="1" x14ac:dyDescent="0.3">
      <c r="A3953" s="2" t="s">
        <v>490</v>
      </c>
      <c r="B3953" s="2" t="s">
        <v>1199</v>
      </c>
      <c r="C3953" s="5" t="s">
        <v>1021</v>
      </c>
      <c r="D3953" s="2" t="s">
        <v>1106</v>
      </c>
    </row>
    <row r="3954" spans="1:4" ht="13.05" customHeight="1" x14ac:dyDescent="0.3">
      <c r="A3954" s="2" t="s">
        <v>490</v>
      </c>
      <c r="B3954" s="2" t="s">
        <v>1199</v>
      </c>
      <c r="C3954" s="5" t="s">
        <v>1023</v>
      </c>
      <c r="D3954" s="2" t="s">
        <v>1107</v>
      </c>
    </row>
    <row r="3955" spans="1:4" ht="13.05" customHeight="1" x14ac:dyDescent="0.3">
      <c r="A3955" s="2" t="s">
        <v>492</v>
      </c>
      <c r="B3955" s="2" t="s">
        <v>1199</v>
      </c>
      <c r="C3955" s="5" t="s">
        <v>1019</v>
      </c>
      <c r="D3955" s="2" t="s">
        <v>1020</v>
      </c>
    </row>
    <row r="3956" spans="1:4" ht="13.05" customHeight="1" x14ac:dyDescent="0.3">
      <c r="A3956" s="2" t="s">
        <v>492</v>
      </c>
      <c r="B3956" s="2" t="s">
        <v>1199</v>
      </c>
      <c r="C3956" s="5" t="s">
        <v>1021</v>
      </c>
      <c r="D3956" s="2" t="s">
        <v>1106</v>
      </c>
    </row>
    <row r="3957" spans="1:4" ht="13.05" customHeight="1" x14ac:dyDescent="0.3">
      <c r="A3957" s="2" t="s">
        <v>492</v>
      </c>
      <c r="B3957" s="2" t="s">
        <v>1199</v>
      </c>
      <c r="C3957" s="5" t="s">
        <v>1023</v>
      </c>
      <c r="D3957" s="2" t="s">
        <v>1107</v>
      </c>
    </row>
    <row r="3958" spans="1:4" ht="13.05" customHeight="1" x14ac:dyDescent="0.3">
      <c r="A3958" s="2" t="s">
        <v>494</v>
      </c>
      <c r="B3958" s="2" t="s">
        <v>1199</v>
      </c>
      <c r="C3958" s="5" t="s">
        <v>1019</v>
      </c>
      <c r="D3958" s="2" t="s">
        <v>1020</v>
      </c>
    </row>
    <row r="3959" spans="1:4" ht="13.05" customHeight="1" x14ac:dyDescent="0.3">
      <c r="A3959" s="2" t="s">
        <v>494</v>
      </c>
      <c r="B3959" s="2" t="s">
        <v>1199</v>
      </c>
      <c r="C3959" s="5" t="s">
        <v>1021</v>
      </c>
      <c r="D3959" s="2" t="s">
        <v>1106</v>
      </c>
    </row>
    <row r="3960" spans="1:4" ht="13.05" customHeight="1" x14ac:dyDescent="0.3">
      <c r="A3960" s="2" t="s">
        <v>494</v>
      </c>
      <c r="B3960" s="2" t="s">
        <v>1199</v>
      </c>
      <c r="C3960" s="5" t="s">
        <v>1023</v>
      </c>
      <c r="D3960" s="2" t="s">
        <v>1107</v>
      </c>
    </row>
    <row r="3961" spans="1:4" ht="13.05" customHeight="1" x14ac:dyDescent="0.3">
      <c r="A3961" s="2" t="s">
        <v>496</v>
      </c>
      <c r="B3961" s="2" t="s">
        <v>1199</v>
      </c>
      <c r="C3961" s="5" t="s">
        <v>1019</v>
      </c>
      <c r="D3961" s="2" t="s">
        <v>1020</v>
      </c>
    </row>
    <row r="3962" spans="1:4" ht="13.05" customHeight="1" x14ac:dyDescent="0.3">
      <c r="A3962" s="2" t="s">
        <v>496</v>
      </c>
      <c r="B3962" s="2" t="s">
        <v>1199</v>
      </c>
      <c r="C3962" s="5" t="s">
        <v>1021</v>
      </c>
      <c r="D3962" s="2" t="s">
        <v>1106</v>
      </c>
    </row>
    <row r="3963" spans="1:4" ht="13.05" customHeight="1" x14ac:dyDescent="0.3">
      <c r="A3963" s="2" t="s">
        <v>496</v>
      </c>
      <c r="B3963" s="2" t="s">
        <v>1199</v>
      </c>
      <c r="C3963" s="5" t="s">
        <v>1023</v>
      </c>
      <c r="D3963" s="2" t="s">
        <v>1107</v>
      </c>
    </row>
    <row r="3964" spans="1:4" ht="13.05" customHeight="1" x14ac:dyDescent="0.3">
      <c r="A3964" s="2" t="s">
        <v>498</v>
      </c>
      <c r="B3964" s="2" t="s">
        <v>1199</v>
      </c>
      <c r="C3964" s="5" t="s">
        <v>1019</v>
      </c>
      <c r="D3964" s="2" t="s">
        <v>1020</v>
      </c>
    </row>
    <row r="3965" spans="1:4" ht="13.05" customHeight="1" x14ac:dyDescent="0.3">
      <c r="A3965" s="2" t="s">
        <v>498</v>
      </c>
      <c r="B3965" s="2" t="s">
        <v>1199</v>
      </c>
      <c r="C3965" s="5" t="s">
        <v>1021</v>
      </c>
      <c r="D3965" s="2" t="s">
        <v>1106</v>
      </c>
    </row>
    <row r="3966" spans="1:4" ht="13.05" customHeight="1" x14ac:dyDescent="0.3">
      <c r="A3966" s="2" t="s">
        <v>498</v>
      </c>
      <c r="B3966" s="2" t="s">
        <v>1199</v>
      </c>
      <c r="C3966" s="5" t="s">
        <v>1023</v>
      </c>
      <c r="D3966" s="2" t="s">
        <v>1107</v>
      </c>
    </row>
    <row r="3967" spans="1:4" ht="13.05" customHeight="1" x14ac:dyDescent="0.3">
      <c r="A3967" s="2" t="s">
        <v>500</v>
      </c>
      <c r="B3967" s="2" t="s">
        <v>1199</v>
      </c>
      <c r="C3967" s="5" t="s">
        <v>1019</v>
      </c>
      <c r="D3967" s="2" t="s">
        <v>1020</v>
      </c>
    </row>
    <row r="3968" spans="1:4" ht="13.05" customHeight="1" x14ac:dyDescent="0.3">
      <c r="A3968" s="2" t="s">
        <v>500</v>
      </c>
      <c r="B3968" s="2" t="s">
        <v>1199</v>
      </c>
      <c r="C3968" s="5" t="s">
        <v>1021</v>
      </c>
      <c r="D3968" s="2" t="s">
        <v>1106</v>
      </c>
    </row>
    <row r="3969" spans="1:4" ht="13.05" customHeight="1" x14ac:dyDescent="0.3">
      <c r="A3969" s="2" t="s">
        <v>500</v>
      </c>
      <c r="B3969" s="2" t="s">
        <v>1199</v>
      </c>
      <c r="C3969" s="5" t="s">
        <v>1023</v>
      </c>
      <c r="D3969" s="2" t="s">
        <v>1107</v>
      </c>
    </row>
    <row r="3970" spans="1:4" ht="13.05" customHeight="1" x14ac:dyDescent="0.3">
      <c r="A3970" s="2" t="s">
        <v>502</v>
      </c>
      <c r="B3970" s="2" t="s">
        <v>1199</v>
      </c>
      <c r="C3970" s="5" t="s">
        <v>1019</v>
      </c>
      <c r="D3970" s="2" t="s">
        <v>1020</v>
      </c>
    </row>
    <row r="3971" spans="1:4" ht="13.05" customHeight="1" x14ac:dyDescent="0.3">
      <c r="A3971" s="2" t="s">
        <v>502</v>
      </c>
      <c r="B3971" s="2" t="s">
        <v>1199</v>
      </c>
      <c r="C3971" s="5" t="s">
        <v>1021</v>
      </c>
      <c r="D3971" s="2" t="s">
        <v>1106</v>
      </c>
    </row>
    <row r="3972" spans="1:4" ht="13.05" customHeight="1" x14ac:dyDescent="0.3">
      <c r="A3972" s="2" t="s">
        <v>502</v>
      </c>
      <c r="B3972" s="2" t="s">
        <v>1199</v>
      </c>
      <c r="C3972" s="5" t="s">
        <v>1023</v>
      </c>
      <c r="D3972" s="2" t="s">
        <v>1107</v>
      </c>
    </row>
    <row r="3973" spans="1:4" ht="13.05" customHeight="1" x14ac:dyDescent="0.3">
      <c r="A3973" s="2" t="s">
        <v>504</v>
      </c>
      <c r="B3973" s="2" t="s">
        <v>1199</v>
      </c>
      <c r="C3973" s="5" t="s">
        <v>1019</v>
      </c>
      <c r="D3973" s="2" t="s">
        <v>1020</v>
      </c>
    </row>
    <row r="3974" spans="1:4" ht="13.05" customHeight="1" x14ac:dyDescent="0.3">
      <c r="A3974" s="2" t="s">
        <v>504</v>
      </c>
      <c r="B3974" s="2" t="s">
        <v>1199</v>
      </c>
      <c r="C3974" s="5" t="s">
        <v>1021</v>
      </c>
      <c r="D3974" s="2" t="s">
        <v>1106</v>
      </c>
    </row>
    <row r="3975" spans="1:4" ht="13.05" customHeight="1" x14ac:dyDescent="0.3">
      <c r="A3975" s="2" t="s">
        <v>504</v>
      </c>
      <c r="B3975" s="2" t="s">
        <v>1199</v>
      </c>
      <c r="C3975" s="5" t="s">
        <v>1023</v>
      </c>
      <c r="D3975" s="2" t="s">
        <v>1107</v>
      </c>
    </row>
    <row r="3976" spans="1:4" ht="13.05" customHeight="1" x14ac:dyDescent="0.3">
      <c r="A3976" s="2" t="s">
        <v>506</v>
      </c>
      <c r="B3976" s="2" t="s">
        <v>1199</v>
      </c>
      <c r="C3976" s="5" t="s">
        <v>1019</v>
      </c>
      <c r="D3976" s="2" t="s">
        <v>1020</v>
      </c>
    </row>
    <row r="3977" spans="1:4" ht="13.05" customHeight="1" x14ac:dyDescent="0.3">
      <c r="A3977" s="2" t="s">
        <v>506</v>
      </c>
      <c r="B3977" s="2" t="s">
        <v>1199</v>
      </c>
      <c r="C3977" s="5" t="s">
        <v>1021</v>
      </c>
      <c r="D3977" s="2" t="s">
        <v>1106</v>
      </c>
    </row>
    <row r="3978" spans="1:4" ht="13.05" customHeight="1" x14ac:dyDescent="0.3">
      <c r="A3978" s="2" t="s">
        <v>506</v>
      </c>
      <c r="B3978" s="2" t="s">
        <v>1199</v>
      </c>
      <c r="C3978" s="5" t="s">
        <v>1023</v>
      </c>
      <c r="D3978" s="2" t="s">
        <v>1107</v>
      </c>
    </row>
    <row r="3979" spans="1:4" ht="13.05" customHeight="1" x14ac:dyDescent="0.3">
      <c r="A3979" s="2" t="s">
        <v>508</v>
      </c>
      <c r="B3979" s="2" t="s">
        <v>1199</v>
      </c>
      <c r="C3979" s="5" t="s">
        <v>1019</v>
      </c>
      <c r="D3979" s="2" t="s">
        <v>1020</v>
      </c>
    </row>
    <row r="3980" spans="1:4" ht="13.05" customHeight="1" x14ac:dyDescent="0.3">
      <c r="A3980" s="2" t="s">
        <v>508</v>
      </c>
      <c r="B3980" s="2" t="s">
        <v>1199</v>
      </c>
      <c r="C3980" s="5" t="s">
        <v>1021</v>
      </c>
      <c r="D3980" s="2" t="s">
        <v>1106</v>
      </c>
    </row>
    <row r="3981" spans="1:4" ht="13.05" customHeight="1" x14ac:dyDescent="0.3">
      <c r="A3981" s="2" t="s">
        <v>508</v>
      </c>
      <c r="B3981" s="2" t="s">
        <v>1199</v>
      </c>
      <c r="C3981" s="5" t="s">
        <v>1023</v>
      </c>
      <c r="D3981" s="2" t="s">
        <v>1107</v>
      </c>
    </row>
    <row r="3982" spans="1:4" ht="13.05" customHeight="1" x14ac:dyDescent="0.3">
      <c r="A3982" s="2" t="s">
        <v>510</v>
      </c>
      <c r="B3982" s="2" t="s">
        <v>1199</v>
      </c>
      <c r="C3982" s="5" t="s">
        <v>1019</v>
      </c>
      <c r="D3982" s="2" t="s">
        <v>1020</v>
      </c>
    </row>
    <row r="3983" spans="1:4" ht="13.05" customHeight="1" x14ac:dyDescent="0.3">
      <c r="A3983" s="2" t="s">
        <v>510</v>
      </c>
      <c r="B3983" s="2" t="s">
        <v>1199</v>
      </c>
      <c r="C3983" s="5" t="s">
        <v>1021</v>
      </c>
      <c r="D3983" s="2" t="s">
        <v>1106</v>
      </c>
    </row>
    <row r="3984" spans="1:4" ht="13.05" customHeight="1" x14ac:dyDescent="0.3">
      <c r="A3984" s="2" t="s">
        <v>510</v>
      </c>
      <c r="B3984" s="2" t="s">
        <v>1199</v>
      </c>
      <c r="C3984" s="5" t="s">
        <v>1023</v>
      </c>
      <c r="D3984" s="2" t="s">
        <v>1107</v>
      </c>
    </row>
    <row r="3985" spans="1:4" ht="13.05" customHeight="1" x14ac:dyDescent="0.3">
      <c r="A3985" s="2" t="s">
        <v>512</v>
      </c>
      <c r="B3985" s="2" t="s">
        <v>1014</v>
      </c>
      <c r="C3985" s="5" t="s">
        <v>1021</v>
      </c>
      <c r="D3985" s="2" t="s">
        <v>1106</v>
      </c>
    </row>
    <row r="3986" spans="1:4" ht="13.05" customHeight="1" x14ac:dyDescent="0.3">
      <c r="A3986" s="2" t="s">
        <v>512</v>
      </c>
      <c r="B3986" s="2" t="s">
        <v>1014</v>
      </c>
      <c r="C3986" s="5" t="s">
        <v>1023</v>
      </c>
      <c r="D3986" s="2" t="s">
        <v>1107</v>
      </c>
    </row>
    <row r="3987" spans="1:4" ht="13.05" customHeight="1" x14ac:dyDescent="0.3">
      <c r="A3987" s="2" t="s">
        <v>514</v>
      </c>
      <c r="B3987" s="2" t="s">
        <v>1014</v>
      </c>
      <c r="C3987" s="5" t="s">
        <v>1021</v>
      </c>
      <c r="D3987" s="2" t="s">
        <v>1106</v>
      </c>
    </row>
    <row r="3988" spans="1:4" ht="13.05" customHeight="1" x14ac:dyDescent="0.3">
      <c r="A3988" s="2" t="s">
        <v>514</v>
      </c>
      <c r="B3988" s="2" t="s">
        <v>1014</v>
      </c>
      <c r="C3988" s="5" t="s">
        <v>1023</v>
      </c>
      <c r="D3988" s="2" t="s">
        <v>1107</v>
      </c>
    </row>
    <row r="3989" spans="1:4" ht="13.05" customHeight="1" x14ac:dyDescent="0.3">
      <c r="A3989" s="2" t="s">
        <v>516</v>
      </c>
      <c r="B3989" s="2" t="s">
        <v>1033</v>
      </c>
      <c r="C3989" s="5" t="s">
        <v>1015</v>
      </c>
      <c r="D3989" s="2" t="s">
        <v>1092</v>
      </c>
    </row>
    <row r="3990" spans="1:4" ht="13.05" customHeight="1" x14ac:dyDescent="0.3">
      <c r="A3990" s="2" t="s">
        <v>516</v>
      </c>
      <c r="B3990" s="2" t="s">
        <v>1033</v>
      </c>
      <c r="C3990" s="5" t="s">
        <v>1017</v>
      </c>
      <c r="D3990" s="2" t="s">
        <v>1018</v>
      </c>
    </row>
    <row r="3991" spans="1:4" ht="13.05" customHeight="1" x14ac:dyDescent="0.3">
      <c r="A3991" s="2" t="s">
        <v>516</v>
      </c>
      <c r="B3991" s="2" t="s">
        <v>1033</v>
      </c>
      <c r="C3991" s="5" t="s">
        <v>1019</v>
      </c>
      <c r="D3991" s="2" t="s">
        <v>1020</v>
      </c>
    </row>
    <row r="3992" spans="1:4" ht="13.05" customHeight="1" x14ac:dyDescent="0.3">
      <c r="A3992" s="2" t="s">
        <v>516</v>
      </c>
      <c r="B3992" s="2" t="s">
        <v>1033</v>
      </c>
      <c r="C3992" s="5" t="s">
        <v>1021</v>
      </c>
      <c r="D3992" s="2" t="s">
        <v>1087</v>
      </c>
    </row>
    <row r="3993" spans="1:4" ht="13.05" customHeight="1" x14ac:dyDescent="0.3">
      <c r="A3993" s="2" t="s">
        <v>516</v>
      </c>
      <c r="B3993" s="2" t="s">
        <v>1033</v>
      </c>
      <c r="C3993" s="5" t="s">
        <v>1023</v>
      </c>
      <c r="D3993" s="2" t="s">
        <v>1109</v>
      </c>
    </row>
    <row r="3994" spans="1:4" ht="13.05" customHeight="1" x14ac:dyDescent="0.3">
      <c r="A3994" s="2" t="s">
        <v>516</v>
      </c>
      <c r="B3994" s="2" t="s">
        <v>1033</v>
      </c>
      <c r="C3994" s="5" t="s">
        <v>1025</v>
      </c>
      <c r="D3994" s="2" t="s">
        <v>1089</v>
      </c>
    </row>
    <row r="3995" spans="1:4" ht="13.05" customHeight="1" x14ac:dyDescent="0.3">
      <c r="A3995" s="2" t="s">
        <v>516</v>
      </c>
      <c r="B3995" s="2" t="s">
        <v>1033</v>
      </c>
      <c r="C3995" s="5" t="s">
        <v>1027</v>
      </c>
      <c r="D3995" s="2" t="s">
        <v>1090</v>
      </c>
    </row>
    <row r="3996" spans="1:4" ht="13.05" customHeight="1" x14ac:dyDescent="0.3">
      <c r="A3996" s="2" t="s">
        <v>516</v>
      </c>
      <c r="B3996" s="2" t="s">
        <v>1033</v>
      </c>
      <c r="C3996" s="5" t="s">
        <v>1029</v>
      </c>
      <c r="D3996" s="2" t="s">
        <v>6051</v>
      </c>
    </row>
    <row r="3997" spans="1:4" ht="13.05" customHeight="1" x14ac:dyDescent="0.3">
      <c r="A3997" s="2" t="s">
        <v>519</v>
      </c>
      <c r="B3997" s="2" t="s">
        <v>1014</v>
      </c>
      <c r="C3997" s="5" t="s">
        <v>1015</v>
      </c>
      <c r="D3997" s="2" t="s">
        <v>1092</v>
      </c>
    </row>
    <row r="3998" spans="1:4" ht="13.05" customHeight="1" x14ac:dyDescent="0.3">
      <c r="A3998" s="2" t="s">
        <v>519</v>
      </c>
      <c r="B3998" s="2" t="s">
        <v>1014</v>
      </c>
      <c r="C3998" s="5" t="s">
        <v>1017</v>
      </c>
      <c r="D3998" s="2" t="s">
        <v>1086</v>
      </c>
    </row>
    <row r="3999" spans="1:4" ht="13.05" customHeight="1" x14ac:dyDescent="0.3">
      <c r="A3999" s="2" t="s">
        <v>519</v>
      </c>
      <c r="B3999" s="2" t="s">
        <v>1014</v>
      </c>
      <c r="C3999" s="5" t="s">
        <v>1019</v>
      </c>
      <c r="D3999" s="2" t="s">
        <v>1020</v>
      </c>
    </row>
    <row r="4000" spans="1:4" ht="13.05" customHeight="1" x14ac:dyDescent="0.3">
      <c r="A4000" s="2" t="s">
        <v>519</v>
      </c>
      <c r="B4000" s="2" t="s">
        <v>1014</v>
      </c>
      <c r="C4000" s="5" t="s">
        <v>1021</v>
      </c>
      <c r="D4000" s="2" t="s">
        <v>1106</v>
      </c>
    </row>
    <row r="4001" spans="1:4" ht="13.05" customHeight="1" x14ac:dyDescent="0.3">
      <c r="A4001" s="2" t="s">
        <v>519</v>
      </c>
      <c r="B4001" s="2" t="s">
        <v>1014</v>
      </c>
      <c r="C4001" s="5" t="s">
        <v>1023</v>
      </c>
      <c r="D4001" s="2" t="s">
        <v>1107</v>
      </c>
    </row>
    <row r="4002" spans="1:4" ht="13.05" customHeight="1" x14ac:dyDescent="0.3">
      <c r="A4002" s="2" t="s">
        <v>522</v>
      </c>
      <c r="B4002" s="2" t="s">
        <v>1033</v>
      </c>
      <c r="C4002" s="5" t="s">
        <v>1015</v>
      </c>
      <c r="D4002" s="2" t="s">
        <v>1092</v>
      </c>
    </row>
    <row r="4003" spans="1:4" ht="13.05" customHeight="1" x14ac:dyDescent="0.3">
      <c r="A4003" s="2" t="s">
        <v>522</v>
      </c>
      <c r="B4003" s="2" t="s">
        <v>1033</v>
      </c>
      <c r="C4003" s="5" t="s">
        <v>1017</v>
      </c>
      <c r="D4003" s="2" t="s">
        <v>1018</v>
      </c>
    </row>
    <row r="4004" spans="1:4" ht="13.05" customHeight="1" x14ac:dyDescent="0.3">
      <c r="A4004" s="2" t="s">
        <v>522</v>
      </c>
      <c r="B4004" s="2" t="s">
        <v>1033</v>
      </c>
      <c r="C4004" s="5" t="s">
        <v>1019</v>
      </c>
      <c r="D4004" s="2" t="s">
        <v>1020</v>
      </c>
    </row>
    <row r="4005" spans="1:4" ht="13.05" customHeight="1" x14ac:dyDescent="0.3">
      <c r="A4005" s="2" t="s">
        <v>522</v>
      </c>
      <c r="B4005" s="2" t="s">
        <v>1033</v>
      </c>
      <c r="C4005" s="5" t="s">
        <v>1021</v>
      </c>
      <c r="D4005" s="2" t="s">
        <v>1108</v>
      </c>
    </row>
    <row r="4006" spans="1:4" ht="13.05" customHeight="1" x14ac:dyDescent="0.3">
      <c r="A4006" s="2" t="s">
        <v>522</v>
      </c>
      <c r="B4006" s="2" t="s">
        <v>1033</v>
      </c>
      <c r="C4006" s="5" t="s">
        <v>1023</v>
      </c>
      <c r="D4006" s="2" t="s">
        <v>1088</v>
      </c>
    </row>
    <row r="4007" spans="1:4" ht="13.05" customHeight="1" x14ac:dyDescent="0.3">
      <c r="A4007" s="2" t="s">
        <v>522</v>
      </c>
      <c r="B4007" s="2" t="s">
        <v>1033</v>
      </c>
      <c r="C4007" s="5" t="s">
        <v>1025</v>
      </c>
      <c r="D4007" s="2" t="s">
        <v>1089</v>
      </c>
    </row>
    <row r="4008" spans="1:4" ht="13.05" customHeight="1" x14ac:dyDescent="0.3">
      <c r="A4008" s="2" t="s">
        <v>522</v>
      </c>
      <c r="B4008" s="2" t="s">
        <v>1033</v>
      </c>
      <c r="C4008" s="5" t="s">
        <v>1027</v>
      </c>
      <c r="D4008" s="2" t="s">
        <v>1090</v>
      </c>
    </row>
    <row r="4009" spans="1:4" ht="13.05" customHeight="1" x14ac:dyDescent="0.3">
      <c r="A4009" s="2" t="s">
        <v>522</v>
      </c>
      <c r="B4009" s="2" t="s">
        <v>1033</v>
      </c>
      <c r="C4009" s="5" t="s">
        <v>1029</v>
      </c>
      <c r="D4009" s="2" t="s">
        <v>6051</v>
      </c>
    </row>
    <row r="4010" spans="1:4" ht="13.05" customHeight="1" x14ac:dyDescent="0.3">
      <c r="A4010" s="2" t="s">
        <v>529</v>
      </c>
      <c r="B4010" s="2" t="s">
        <v>1014</v>
      </c>
      <c r="C4010" s="5" t="s">
        <v>1044</v>
      </c>
      <c r="D4010" s="2" t="s">
        <v>1045</v>
      </c>
    </row>
    <row r="4011" spans="1:4" ht="13.05" customHeight="1" x14ac:dyDescent="0.3">
      <c r="A4011" s="2" t="s">
        <v>529</v>
      </c>
      <c r="B4011" s="2" t="s">
        <v>1014</v>
      </c>
      <c r="C4011" s="5" t="s">
        <v>1015</v>
      </c>
      <c r="D4011" s="2" t="s">
        <v>1016</v>
      </c>
    </row>
    <row r="4012" spans="1:4" ht="13.05" customHeight="1" x14ac:dyDescent="0.3">
      <c r="A4012" s="2" t="s">
        <v>529</v>
      </c>
      <c r="B4012" s="2" t="s">
        <v>1014</v>
      </c>
      <c r="C4012" s="5" t="s">
        <v>1017</v>
      </c>
      <c r="D4012" s="2" t="s">
        <v>1018</v>
      </c>
    </row>
    <row r="4013" spans="1:4" ht="13.05" customHeight="1" x14ac:dyDescent="0.3">
      <c r="A4013" s="2" t="s">
        <v>529</v>
      </c>
      <c r="B4013" s="2" t="s">
        <v>1014</v>
      </c>
      <c r="C4013" s="5" t="s">
        <v>1021</v>
      </c>
      <c r="D4013" s="2" t="s">
        <v>6052</v>
      </c>
    </row>
    <row r="4014" spans="1:4" ht="13.05" customHeight="1" x14ac:dyDescent="0.3">
      <c r="A4014" s="2" t="s">
        <v>529</v>
      </c>
      <c r="B4014" s="2" t="s">
        <v>1014</v>
      </c>
      <c r="C4014" s="5" t="s">
        <v>1023</v>
      </c>
      <c r="D4014" s="2" t="s">
        <v>6053</v>
      </c>
    </row>
    <row r="4015" spans="1:4" ht="13.05" customHeight="1" x14ac:dyDescent="0.3">
      <c r="A4015" s="2" t="s">
        <v>529</v>
      </c>
      <c r="B4015" s="2" t="s">
        <v>1014</v>
      </c>
      <c r="C4015" s="5" t="s">
        <v>1025</v>
      </c>
      <c r="D4015" s="2" t="s">
        <v>6054</v>
      </c>
    </row>
    <row r="4016" spans="1:4" ht="13.05" customHeight="1" x14ac:dyDescent="0.3">
      <c r="A4016" s="2" t="s">
        <v>532</v>
      </c>
      <c r="B4016" s="2" t="s">
        <v>1033</v>
      </c>
      <c r="C4016" s="5" t="s">
        <v>1015</v>
      </c>
      <c r="D4016" s="2" t="s">
        <v>1016</v>
      </c>
    </row>
    <row r="4017" spans="1:4" ht="13.05" customHeight="1" x14ac:dyDescent="0.3">
      <c r="A4017" s="2" t="s">
        <v>532</v>
      </c>
      <c r="B4017" s="2" t="s">
        <v>1033</v>
      </c>
      <c r="C4017" s="5" t="s">
        <v>1017</v>
      </c>
      <c r="D4017" s="2" t="s">
        <v>1018</v>
      </c>
    </row>
    <row r="4018" spans="1:4" ht="13.05" customHeight="1" x14ac:dyDescent="0.3">
      <c r="A4018" s="2" t="s">
        <v>532</v>
      </c>
      <c r="B4018" s="2" t="s">
        <v>1033</v>
      </c>
      <c r="C4018" s="5" t="s">
        <v>1019</v>
      </c>
      <c r="D4018" s="2" t="s">
        <v>1020</v>
      </c>
    </row>
    <row r="4019" spans="1:4" ht="13.05" customHeight="1" x14ac:dyDescent="0.3">
      <c r="A4019" s="2" t="s">
        <v>532</v>
      </c>
      <c r="B4019" s="2" t="s">
        <v>1033</v>
      </c>
      <c r="C4019" s="5" t="s">
        <v>1021</v>
      </c>
      <c r="D4019" s="2" t="s">
        <v>1093</v>
      </c>
    </row>
    <row r="4020" spans="1:4" ht="13.05" customHeight="1" x14ac:dyDescent="0.3">
      <c r="A4020" s="2" t="s">
        <v>532</v>
      </c>
      <c r="B4020" s="2" t="s">
        <v>1033</v>
      </c>
      <c r="C4020" s="5" t="s">
        <v>1023</v>
      </c>
      <c r="D4020" s="2" t="s">
        <v>1094</v>
      </c>
    </row>
    <row r="4021" spans="1:4" ht="13.05" customHeight="1" x14ac:dyDescent="0.3">
      <c r="A4021" s="2" t="s">
        <v>532</v>
      </c>
      <c r="B4021" s="2" t="s">
        <v>1033</v>
      </c>
      <c r="C4021" s="5" t="s">
        <v>1025</v>
      </c>
      <c r="D4021" s="2" t="s">
        <v>1095</v>
      </c>
    </row>
    <row r="4022" spans="1:4" ht="13.05" customHeight="1" x14ac:dyDescent="0.3">
      <c r="A4022" s="2" t="s">
        <v>532</v>
      </c>
      <c r="B4022" s="2" t="s">
        <v>1033</v>
      </c>
      <c r="C4022" s="5" t="s">
        <v>1027</v>
      </c>
      <c r="D4022" s="2" t="s">
        <v>1096</v>
      </c>
    </row>
    <row r="4023" spans="1:4" ht="13.05" customHeight="1" x14ac:dyDescent="0.3">
      <c r="A4023" s="2" t="s">
        <v>532</v>
      </c>
      <c r="B4023" s="2" t="s">
        <v>1033</v>
      </c>
      <c r="C4023" s="5" t="s">
        <v>1029</v>
      </c>
      <c r="D4023" s="2" t="s">
        <v>1097</v>
      </c>
    </row>
    <row r="4024" spans="1:4" ht="13.05" customHeight="1" x14ac:dyDescent="0.3">
      <c r="A4024" s="2" t="s">
        <v>535</v>
      </c>
      <c r="B4024" s="2" t="s">
        <v>1033</v>
      </c>
      <c r="C4024" s="5" t="s">
        <v>1015</v>
      </c>
      <c r="D4024" s="2" t="s">
        <v>1016</v>
      </c>
    </row>
    <row r="4025" spans="1:4" ht="13.05" customHeight="1" x14ac:dyDescent="0.3">
      <c r="A4025" s="2" t="s">
        <v>535</v>
      </c>
      <c r="B4025" s="2" t="s">
        <v>1033</v>
      </c>
      <c r="C4025" s="5" t="s">
        <v>1017</v>
      </c>
      <c r="D4025" s="2" t="s">
        <v>1018</v>
      </c>
    </row>
    <row r="4026" spans="1:4" ht="13.05" customHeight="1" x14ac:dyDescent="0.3">
      <c r="A4026" s="2" t="s">
        <v>535</v>
      </c>
      <c r="B4026" s="2" t="s">
        <v>1033</v>
      </c>
      <c r="C4026" s="5" t="s">
        <v>1019</v>
      </c>
      <c r="D4026" s="2" t="s">
        <v>1020</v>
      </c>
    </row>
    <row r="4027" spans="1:4" ht="13.05" customHeight="1" x14ac:dyDescent="0.3">
      <c r="A4027" s="2" t="s">
        <v>535</v>
      </c>
      <c r="B4027" s="2" t="s">
        <v>1033</v>
      </c>
      <c r="C4027" s="5" t="s">
        <v>1021</v>
      </c>
      <c r="D4027" s="2" t="s">
        <v>1093</v>
      </c>
    </row>
    <row r="4028" spans="1:4" ht="13.05" customHeight="1" x14ac:dyDescent="0.3">
      <c r="A4028" s="2" t="s">
        <v>535</v>
      </c>
      <c r="B4028" s="2" t="s">
        <v>1033</v>
      </c>
      <c r="C4028" s="5" t="s">
        <v>1023</v>
      </c>
      <c r="D4028" s="2" t="s">
        <v>1094</v>
      </c>
    </row>
    <row r="4029" spans="1:4" ht="13.05" customHeight="1" x14ac:dyDescent="0.3">
      <c r="A4029" s="2" t="s">
        <v>535</v>
      </c>
      <c r="B4029" s="2" t="s">
        <v>1033</v>
      </c>
      <c r="C4029" s="5" t="s">
        <v>1025</v>
      </c>
      <c r="D4029" s="2" t="s">
        <v>1095</v>
      </c>
    </row>
    <row r="4030" spans="1:4" ht="13.05" customHeight="1" x14ac:dyDescent="0.3">
      <c r="A4030" s="2" t="s">
        <v>535</v>
      </c>
      <c r="B4030" s="2" t="s">
        <v>1033</v>
      </c>
      <c r="C4030" s="5" t="s">
        <v>1027</v>
      </c>
      <c r="D4030" s="2" t="s">
        <v>1096</v>
      </c>
    </row>
    <row r="4031" spans="1:4" ht="13.05" customHeight="1" x14ac:dyDescent="0.3">
      <c r="A4031" s="2" t="s">
        <v>535</v>
      </c>
      <c r="B4031" s="2" t="s">
        <v>1033</v>
      </c>
      <c r="C4031" s="5" t="s">
        <v>1029</v>
      </c>
      <c r="D4031" s="2" t="s">
        <v>1097</v>
      </c>
    </row>
    <row r="4032" spans="1:4" ht="13.05" customHeight="1" x14ac:dyDescent="0.3">
      <c r="A4032" s="2" t="s">
        <v>538</v>
      </c>
      <c r="B4032" s="2" t="s">
        <v>1014</v>
      </c>
      <c r="C4032" s="5" t="s">
        <v>1044</v>
      </c>
      <c r="D4032" s="2" t="s">
        <v>1045</v>
      </c>
    </row>
    <row r="4033" spans="1:4" ht="13.05" customHeight="1" x14ac:dyDescent="0.3">
      <c r="A4033" s="2" t="s">
        <v>538</v>
      </c>
      <c r="B4033" s="2" t="s">
        <v>1014</v>
      </c>
      <c r="C4033" s="5" t="s">
        <v>1015</v>
      </c>
      <c r="D4033" s="2" t="s">
        <v>1016</v>
      </c>
    </row>
    <row r="4034" spans="1:4" ht="13.05" customHeight="1" x14ac:dyDescent="0.3">
      <c r="A4034" s="2" t="s">
        <v>538</v>
      </c>
      <c r="B4034" s="2" t="s">
        <v>1014</v>
      </c>
      <c r="C4034" s="5" t="s">
        <v>1017</v>
      </c>
      <c r="D4034" s="2" t="s">
        <v>1018</v>
      </c>
    </row>
    <row r="4035" spans="1:4" ht="13.05" customHeight="1" x14ac:dyDescent="0.3">
      <c r="A4035" s="2" t="s">
        <v>538</v>
      </c>
      <c r="B4035" s="2" t="s">
        <v>1014</v>
      </c>
      <c r="C4035" s="5" t="s">
        <v>1019</v>
      </c>
      <c r="D4035" s="2" t="s">
        <v>1020</v>
      </c>
    </row>
    <row r="4036" spans="1:4" ht="13.05" customHeight="1" x14ac:dyDescent="0.3">
      <c r="A4036" s="2" t="s">
        <v>538</v>
      </c>
      <c r="B4036" s="2" t="s">
        <v>1014</v>
      </c>
      <c r="C4036" s="5" t="s">
        <v>1021</v>
      </c>
      <c r="D4036" s="2" t="s">
        <v>6055</v>
      </c>
    </row>
    <row r="4037" spans="1:4" ht="13.05" customHeight="1" x14ac:dyDescent="0.3">
      <c r="A4037" s="2" t="s">
        <v>538</v>
      </c>
      <c r="B4037" s="2" t="s">
        <v>1014</v>
      </c>
      <c r="C4037" s="5" t="s">
        <v>1023</v>
      </c>
      <c r="D4037" s="2" t="s">
        <v>6056</v>
      </c>
    </row>
    <row r="4038" spans="1:4" ht="13.05" customHeight="1" x14ac:dyDescent="0.3">
      <c r="A4038" s="2" t="s">
        <v>538</v>
      </c>
      <c r="B4038" s="2" t="s">
        <v>1014</v>
      </c>
      <c r="C4038" s="5" t="s">
        <v>1025</v>
      </c>
      <c r="D4038" s="2" t="s">
        <v>6057</v>
      </c>
    </row>
    <row r="4039" spans="1:4" ht="13.05" customHeight="1" x14ac:dyDescent="0.3">
      <c r="A4039" s="2" t="s">
        <v>538</v>
      </c>
      <c r="B4039" s="2" t="s">
        <v>1014</v>
      </c>
      <c r="C4039" s="5" t="s">
        <v>1027</v>
      </c>
      <c r="D4039" s="2" t="s">
        <v>6058</v>
      </c>
    </row>
    <row r="4040" spans="1:4" ht="13.05" customHeight="1" x14ac:dyDescent="0.3">
      <c r="A4040" s="2" t="s">
        <v>538</v>
      </c>
      <c r="B4040" s="2" t="s">
        <v>1014</v>
      </c>
      <c r="C4040" s="5" t="s">
        <v>1029</v>
      </c>
      <c r="D4040" s="2" t="s">
        <v>6059</v>
      </c>
    </row>
    <row r="4041" spans="1:4" ht="13.05" customHeight="1" x14ac:dyDescent="0.3">
      <c r="A4041" s="2" t="s">
        <v>538</v>
      </c>
      <c r="B4041" s="2" t="s">
        <v>1014</v>
      </c>
      <c r="C4041" s="5" t="s">
        <v>1031</v>
      </c>
      <c r="D4041" s="2" t="s">
        <v>6060</v>
      </c>
    </row>
    <row r="4042" spans="1:4" ht="13.05" customHeight="1" x14ac:dyDescent="0.3">
      <c r="A4042" s="2" t="s">
        <v>538</v>
      </c>
      <c r="B4042" s="2" t="s">
        <v>1014</v>
      </c>
      <c r="C4042" s="5" t="s">
        <v>1052</v>
      </c>
      <c r="D4042" s="2" t="s">
        <v>1083</v>
      </c>
    </row>
    <row r="4043" spans="1:4" ht="13.05" customHeight="1" x14ac:dyDescent="0.3">
      <c r="A4043" s="2" t="s">
        <v>541</v>
      </c>
      <c r="B4043" s="2" t="s">
        <v>1014</v>
      </c>
      <c r="C4043" s="5" t="s">
        <v>1021</v>
      </c>
      <c r="D4043" s="2" t="s">
        <v>6061</v>
      </c>
    </row>
    <row r="4044" spans="1:4" ht="13.05" customHeight="1" x14ac:dyDescent="0.3">
      <c r="A4044" s="2" t="s">
        <v>541</v>
      </c>
      <c r="B4044" s="2" t="s">
        <v>1014</v>
      </c>
      <c r="C4044" s="5" t="s">
        <v>1023</v>
      </c>
      <c r="D4044" s="2" t="s">
        <v>6062</v>
      </c>
    </row>
    <row r="4045" spans="1:4" ht="13.05" customHeight="1" x14ac:dyDescent="0.3">
      <c r="A4045" s="2" t="s">
        <v>543</v>
      </c>
      <c r="B4045" s="2" t="s">
        <v>1199</v>
      </c>
      <c r="C4045" s="5" t="s">
        <v>1019</v>
      </c>
      <c r="D4045" s="2" t="s">
        <v>1020</v>
      </c>
    </row>
    <row r="4046" spans="1:4" ht="13.05" customHeight="1" x14ac:dyDescent="0.3">
      <c r="A4046" s="2" t="s">
        <v>543</v>
      </c>
      <c r="B4046" s="2" t="s">
        <v>1199</v>
      </c>
      <c r="C4046" s="5" t="s">
        <v>1021</v>
      </c>
      <c r="D4046" s="2" t="s">
        <v>1106</v>
      </c>
    </row>
    <row r="4047" spans="1:4" ht="13.05" customHeight="1" x14ac:dyDescent="0.3">
      <c r="A4047" s="2" t="s">
        <v>543</v>
      </c>
      <c r="B4047" s="2" t="s">
        <v>1199</v>
      </c>
      <c r="C4047" s="5" t="s">
        <v>1023</v>
      </c>
      <c r="D4047" s="2" t="s">
        <v>1107</v>
      </c>
    </row>
    <row r="4048" spans="1:4" ht="13.05" customHeight="1" x14ac:dyDescent="0.3">
      <c r="A4048" s="2" t="s">
        <v>545</v>
      </c>
      <c r="B4048" s="2" t="s">
        <v>1033</v>
      </c>
      <c r="C4048" s="5" t="s">
        <v>1015</v>
      </c>
      <c r="D4048" s="2" t="s">
        <v>1092</v>
      </c>
    </row>
    <row r="4049" spans="1:4" ht="13.05" customHeight="1" x14ac:dyDescent="0.3">
      <c r="A4049" s="2" t="s">
        <v>545</v>
      </c>
      <c r="B4049" s="2" t="s">
        <v>1033</v>
      </c>
      <c r="C4049" s="5" t="s">
        <v>1017</v>
      </c>
      <c r="D4049" s="2" t="s">
        <v>1018</v>
      </c>
    </row>
    <row r="4050" spans="1:4" ht="13.05" customHeight="1" x14ac:dyDescent="0.3">
      <c r="A4050" s="2" t="s">
        <v>545</v>
      </c>
      <c r="B4050" s="2" t="s">
        <v>1033</v>
      </c>
      <c r="C4050" s="5" t="s">
        <v>1019</v>
      </c>
      <c r="D4050" s="2" t="s">
        <v>1020</v>
      </c>
    </row>
    <row r="4051" spans="1:4" ht="13.05" customHeight="1" x14ac:dyDescent="0.3">
      <c r="A4051" s="2" t="s">
        <v>545</v>
      </c>
      <c r="B4051" s="2" t="s">
        <v>1033</v>
      </c>
      <c r="C4051" s="5" t="s">
        <v>1021</v>
      </c>
      <c r="D4051" s="2" t="s">
        <v>1093</v>
      </c>
    </row>
    <row r="4052" spans="1:4" ht="13.05" customHeight="1" x14ac:dyDescent="0.3">
      <c r="A4052" s="2" t="s">
        <v>545</v>
      </c>
      <c r="B4052" s="2" t="s">
        <v>1033</v>
      </c>
      <c r="C4052" s="5" t="s">
        <v>1023</v>
      </c>
      <c r="D4052" s="2" t="s">
        <v>1094</v>
      </c>
    </row>
    <row r="4053" spans="1:4" ht="13.05" customHeight="1" x14ac:dyDescent="0.3">
      <c r="A4053" s="2" t="s">
        <v>545</v>
      </c>
      <c r="B4053" s="2" t="s">
        <v>1033</v>
      </c>
      <c r="C4053" s="5" t="s">
        <v>1025</v>
      </c>
      <c r="D4053" s="2" t="s">
        <v>1095</v>
      </c>
    </row>
    <row r="4054" spans="1:4" ht="13.05" customHeight="1" x14ac:dyDescent="0.3">
      <c r="A4054" s="2" t="s">
        <v>545</v>
      </c>
      <c r="B4054" s="2" t="s">
        <v>1033</v>
      </c>
      <c r="C4054" s="5" t="s">
        <v>1027</v>
      </c>
      <c r="D4054" s="2" t="s">
        <v>1096</v>
      </c>
    </row>
    <row r="4055" spans="1:4" ht="13.05" customHeight="1" x14ac:dyDescent="0.3">
      <c r="A4055" s="2" t="s">
        <v>545</v>
      </c>
      <c r="B4055" s="2" t="s">
        <v>1033</v>
      </c>
      <c r="C4055" s="5" t="s">
        <v>1029</v>
      </c>
      <c r="D4055" s="2" t="s">
        <v>1097</v>
      </c>
    </row>
    <row r="4056" spans="1:4" ht="13.05" customHeight="1" x14ac:dyDescent="0.3">
      <c r="A4056" s="2" t="s">
        <v>548</v>
      </c>
      <c r="B4056" s="2" t="s">
        <v>1014</v>
      </c>
      <c r="C4056" s="5" t="s">
        <v>1044</v>
      </c>
      <c r="D4056" s="2" t="s">
        <v>1045</v>
      </c>
    </row>
    <row r="4057" spans="1:4" ht="13.05" customHeight="1" x14ac:dyDescent="0.3">
      <c r="A4057" s="2" t="s">
        <v>548</v>
      </c>
      <c r="B4057" s="2" t="s">
        <v>1014</v>
      </c>
      <c r="C4057" s="5" t="s">
        <v>1015</v>
      </c>
      <c r="D4057" s="2" t="s">
        <v>1092</v>
      </c>
    </row>
    <row r="4058" spans="1:4" ht="13.05" customHeight="1" x14ac:dyDescent="0.3">
      <c r="A4058" s="2" t="s">
        <v>548</v>
      </c>
      <c r="B4058" s="2" t="s">
        <v>1014</v>
      </c>
      <c r="C4058" s="5" t="s">
        <v>1017</v>
      </c>
      <c r="D4058" s="2" t="s">
        <v>1086</v>
      </c>
    </row>
    <row r="4059" spans="1:4" ht="13.05" customHeight="1" x14ac:dyDescent="0.3">
      <c r="A4059" s="2" t="s">
        <v>551</v>
      </c>
      <c r="B4059" s="2" t="s">
        <v>1199</v>
      </c>
      <c r="C4059" s="5" t="s">
        <v>1015</v>
      </c>
      <c r="D4059" s="2" t="s">
        <v>1016</v>
      </c>
    </row>
    <row r="4060" spans="1:4" ht="13.05" customHeight="1" x14ac:dyDescent="0.3">
      <c r="A4060" s="2" t="s">
        <v>551</v>
      </c>
      <c r="B4060" s="2" t="s">
        <v>1199</v>
      </c>
      <c r="C4060" s="5" t="s">
        <v>1017</v>
      </c>
      <c r="D4060" s="2" t="s">
        <v>1086</v>
      </c>
    </row>
    <row r="4061" spans="1:4" ht="13.05" customHeight="1" x14ac:dyDescent="0.3">
      <c r="A4061" s="2" t="s">
        <v>551</v>
      </c>
      <c r="B4061" s="2" t="s">
        <v>1199</v>
      </c>
      <c r="C4061" s="5" t="s">
        <v>1019</v>
      </c>
      <c r="D4061" s="2" t="s">
        <v>1020</v>
      </c>
    </row>
    <row r="4062" spans="1:4" ht="13.05" customHeight="1" x14ac:dyDescent="0.3">
      <c r="A4062" s="2" t="s">
        <v>551</v>
      </c>
      <c r="B4062" s="2" t="s">
        <v>1199</v>
      </c>
      <c r="C4062" s="5" t="s">
        <v>1021</v>
      </c>
      <c r="D4062" s="2" t="s">
        <v>6063</v>
      </c>
    </row>
    <row r="4063" spans="1:4" ht="13.05" customHeight="1" x14ac:dyDescent="0.3">
      <c r="A4063" s="2" t="s">
        <v>551</v>
      </c>
      <c r="B4063" s="2" t="s">
        <v>1199</v>
      </c>
      <c r="C4063" s="5" t="s">
        <v>1023</v>
      </c>
      <c r="D4063" s="2" t="s">
        <v>6064</v>
      </c>
    </row>
    <row r="4064" spans="1:4" ht="13.05" customHeight="1" x14ac:dyDescent="0.3">
      <c r="A4064" s="2" t="s">
        <v>551</v>
      </c>
      <c r="B4064" s="2" t="s">
        <v>1199</v>
      </c>
      <c r="C4064" s="5" t="s">
        <v>1025</v>
      </c>
      <c r="D4064" s="2" t="s">
        <v>6065</v>
      </c>
    </row>
    <row r="4065" spans="1:4" ht="13.05" customHeight="1" x14ac:dyDescent="0.3">
      <c r="A4065" s="2" t="s">
        <v>551</v>
      </c>
      <c r="B4065" s="2" t="s">
        <v>1199</v>
      </c>
      <c r="C4065" s="5" t="s">
        <v>1027</v>
      </c>
      <c r="D4065" s="2" t="s">
        <v>6066</v>
      </c>
    </row>
    <row r="4066" spans="1:4" ht="13.05" customHeight="1" x14ac:dyDescent="0.3">
      <c r="A4066" s="2" t="s">
        <v>551</v>
      </c>
      <c r="B4066" s="2" t="s">
        <v>1199</v>
      </c>
      <c r="C4066" s="5" t="s">
        <v>1029</v>
      </c>
      <c r="D4066" s="2" t="s">
        <v>6067</v>
      </c>
    </row>
    <row r="4067" spans="1:4" ht="13.05" customHeight="1" x14ac:dyDescent="0.3">
      <c r="A4067" s="2" t="s">
        <v>551</v>
      </c>
      <c r="B4067" s="2" t="s">
        <v>1199</v>
      </c>
      <c r="C4067" s="5" t="s">
        <v>1031</v>
      </c>
      <c r="D4067" s="2" t="s">
        <v>6068</v>
      </c>
    </row>
    <row r="4068" spans="1:4" ht="13.05" customHeight="1" x14ac:dyDescent="0.3">
      <c r="A4068" s="2" t="s">
        <v>551</v>
      </c>
      <c r="B4068" s="2" t="s">
        <v>1199</v>
      </c>
      <c r="C4068" s="5" t="s">
        <v>1040</v>
      </c>
      <c r="D4068" s="2" t="s">
        <v>6069</v>
      </c>
    </row>
    <row r="4069" spans="1:4" ht="13.05" customHeight="1" x14ac:dyDescent="0.3">
      <c r="A4069" s="2" t="s">
        <v>554</v>
      </c>
      <c r="B4069" s="2" t="s">
        <v>1014</v>
      </c>
      <c r="C4069" s="5" t="s">
        <v>1044</v>
      </c>
      <c r="D4069" s="2" t="s">
        <v>1045</v>
      </c>
    </row>
    <row r="4070" spans="1:4" ht="13.05" customHeight="1" x14ac:dyDescent="0.3">
      <c r="A4070" s="2" t="s">
        <v>554</v>
      </c>
      <c r="B4070" s="2" t="s">
        <v>1014</v>
      </c>
      <c r="C4070" s="5" t="s">
        <v>1015</v>
      </c>
      <c r="D4070" s="2" t="s">
        <v>1016</v>
      </c>
    </row>
    <row r="4071" spans="1:4" ht="13.05" customHeight="1" x14ac:dyDescent="0.3">
      <c r="A4071" s="2" t="s">
        <v>554</v>
      </c>
      <c r="B4071" s="2" t="s">
        <v>1014</v>
      </c>
      <c r="C4071" s="5" t="s">
        <v>1017</v>
      </c>
      <c r="D4071" s="2" t="s">
        <v>1018</v>
      </c>
    </row>
    <row r="4072" spans="1:4" ht="13.05" customHeight="1" x14ac:dyDescent="0.3">
      <c r="A4072" s="2" t="s">
        <v>554</v>
      </c>
      <c r="B4072" s="2" t="s">
        <v>1014</v>
      </c>
      <c r="C4072" s="5" t="s">
        <v>1019</v>
      </c>
      <c r="D4072" s="2" t="s">
        <v>1020</v>
      </c>
    </row>
    <row r="4073" spans="1:4" ht="13.05" customHeight="1" x14ac:dyDescent="0.3">
      <c r="A4073" s="2" t="s">
        <v>557</v>
      </c>
      <c r="B4073" s="2" t="s">
        <v>1199</v>
      </c>
      <c r="C4073" s="5" t="s">
        <v>1021</v>
      </c>
      <c r="D4073" s="2" t="s">
        <v>1106</v>
      </c>
    </row>
    <row r="4074" spans="1:4" ht="13.05" customHeight="1" x14ac:dyDescent="0.3">
      <c r="A4074" s="2" t="s">
        <v>557</v>
      </c>
      <c r="B4074" s="2" t="s">
        <v>1199</v>
      </c>
      <c r="C4074" s="5" t="s">
        <v>1023</v>
      </c>
      <c r="D4074" s="2" t="s">
        <v>1107</v>
      </c>
    </row>
    <row r="4075" spans="1:4" ht="13.05" customHeight="1" x14ac:dyDescent="0.3">
      <c r="A4075" s="2" t="s">
        <v>559</v>
      </c>
      <c r="B4075" s="2" t="s">
        <v>1014</v>
      </c>
      <c r="C4075" s="5" t="s">
        <v>1021</v>
      </c>
      <c r="D4075" s="2" t="s">
        <v>1106</v>
      </c>
    </row>
    <row r="4076" spans="1:4" ht="13.05" customHeight="1" x14ac:dyDescent="0.3">
      <c r="A4076" s="2" t="s">
        <v>559</v>
      </c>
      <c r="B4076" s="2" t="s">
        <v>1014</v>
      </c>
      <c r="C4076" s="5" t="s">
        <v>1023</v>
      </c>
      <c r="D4076" s="2" t="s">
        <v>1107</v>
      </c>
    </row>
    <row r="4077" spans="1:4" ht="13.05" customHeight="1" x14ac:dyDescent="0.3">
      <c r="A4077" s="2" t="s">
        <v>561</v>
      </c>
      <c r="B4077" s="2" t="s">
        <v>1014</v>
      </c>
      <c r="C4077" s="5" t="s">
        <v>1021</v>
      </c>
      <c r="D4077" s="2" t="s">
        <v>1106</v>
      </c>
    </row>
    <row r="4078" spans="1:4" ht="13.05" customHeight="1" x14ac:dyDescent="0.3">
      <c r="A4078" s="2" t="s">
        <v>561</v>
      </c>
      <c r="B4078" s="2" t="s">
        <v>1014</v>
      </c>
      <c r="C4078" s="5" t="s">
        <v>1023</v>
      </c>
      <c r="D4078" s="2" t="s">
        <v>1107</v>
      </c>
    </row>
    <row r="4079" spans="1:4" ht="13.05" customHeight="1" x14ac:dyDescent="0.3">
      <c r="A4079" s="2" t="s">
        <v>563</v>
      </c>
      <c r="B4079" s="2" t="s">
        <v>1014</v>
      </c>
      <c r="C4079" s="5" t="s">
        <v>1021</v>
      </c>
      <c r="D4079" s="2" t="s">
        <v>1106</v>
      </c>
    </row>
    <row r="4080" spans="1:4" ht="13.05" customHeight="1" x14ac:dyDescent="0.3">
      <c r="A4080" s="2" t="s">
        <v>563</v>
      </c>
      <c r="B4080" s="2" t="s">
        <v>1014</v>
      </c>
      <c r="C4080" s="5" t="s">
        <v>1023</v>
      </c>
      <c r="D4080" s="2" t="s">
        <v>1107</v>
      </c>
    </row>
    <row r="4081" spans="1:4" ht="13.05" customHeight="1" x14ac:dyDescent="0.3">
      <c r="A4081" s="2" t="s">
        <v>565</v>
      </c>
      <c r="B4081" s="2" t="s">
        <v>1014</v>
      </c>
      <c r="C4081" s="5" t="s">
        <v>1021</v>
      </c>
      <c r="D4081" s="2" t="s">
        <v>1106</v>
      </c>
    </row>
    <row r="4082" spans="1:4" ht="13.05" customHeight="1" x14ac:dyDescent="0.3">
      <c r="A4082" s="2" t="s">
        <v>565</v>
      </c>
      <c r="B4082" s="2" t="s">
        <v>1014</v>
      </c>
      <c r="C4082" s="5" t="s">
        <v>1023</v>
      </c>
      <c r="D4082" s="2" t="s">
        <v>1107</v>
      </c>
    </row>
    <row r="4083" spans="1:4" ht="13.05" customHeight="1" x14ac:dyDescent="0.3">
      <c r="A4083" s="2" t="s">
        <v>567</v>
      </c>
      <c r="B4083" s="2" t="s">
        <v>1014</v>
      </c>
      <c r="C4083" s="5" t="s">
        <v>1021</v>
      </c>
      <c r="D4083" s="2" t="s">
        <v>1106</v>
      </c>
    </row>
    <row r="4084" spans="1:4" ht="13.05" customHeight="1" x14ac:dyDescent="0.3">
      <c r="A4084" s="2" t="s">
        <v>567</v>
      </c>
      <c r="B4084" s="2" t="s">
        <v>1014</v>
      </c>
      <c r="C4084" s="5" t="s">
        <v>1023</v>
      </c>
      <c r="D4084" s="2" t="s">
        <v>1107</v>
      </c>
    </row>
    <row r="4085" spans="1:4" ht="13.05" customHeight="1" x14ac:dyDescent="0.3">
      <c r="A4085" s="2" t="s">
        <v>569</v>
      </c>
      <c r="B4085" s="2" t="s">
        <v>1014</v>
      </c>
      <c r="C4085" s="5" t="s">
        <v>1015</v>
      </c>
      <c r="D4085" s="2" t="s">
        <v>1016</v>
      </c>
    </row>
    <row r="4086" spans="1:4" ht="13.05" customHeight="1" x14ac:dyDescent="0.3">
      <c r="A4086" s="2" t="s">
        <v>569</v>
      </c>
      <c r="B4086" s="2" t="s">
        <v>1014</v>
      </c>
      <c r="C4086" s="5" t="s">
        <v>1017</v>
      </c>
      <c r="D4086" s="2" t="s">
        <v>1018</v>
      </c>
    </row>
    <row r="4087" spans="1:4" ht="13.05" customHeight="1" x14ac:dyDescent="0.3">
      <c r="A4087" s="2" t="s">
        <v>569</v>
      </c>
      <c r="B4087" s="2" t="s">
        <v>1014</v>
      </c>
      <c r="C4087" s="5" t="s">
        <v>1019</v>
      </c>
      <c r="D4087" s="2" t="s">
        <v>1020</v>
      </c>
    </row>
    <row r="4088" spans="1:4" ht="13.05" customHeight="1" x14ac:dyDescent="0.3">
      <c r="A4088" s="2" t="s">
        <v>569</v>
      </c>
      <c r="B4088" s="2" t="s">
        <v>1014</v>
      </c>
      <c r="C4088" s="5" t="s">
        <v>1021</v>
      </c>
      <c r="D4088" s="2" t="s">
        <v>3056</v>
      </c>
    </row>
    <row r="4089" spans="1:4" ht="13.05" customHeight="1" x14ac:dyDescent="0.3">
      <c r="A4089" s="2" t="s">
        <v>569</v>
      </c>
      <c r="B4089" s="2" t="s">
        <v>1014</v>
      </c>
      <c r="C4089" s="5" t="s">
        <v>1023</v>
      </c>
      <c r="D4089" s="2" t="s">
        <v>3057</v>
      </c>
    </row>
    <row r="4090" spans="1:4" ht="13.05" customHeight="1" x14ac:dyDescent="0.3">
      <c r="A4090" s="2" t="s">
        <v>569</v>
      </c>
      <c r="B4090" s="2" t="s">
        <v>1014</v>
      </c>
      <c r="C4090" s="5" t="s">
        <v>1025</v>
      </c>
      <c r="D4090" s="2" t="s">
        <v>3058</v>
      </c>
    </row>
    <row r="4091" spans="1:4" ht="13.05" customHeight="1" x14ac:dyDescent="0.3">
      <c r="A4091" s="2" t="s">
        <v>569</v>
      </c>
      <c r="B4091" s="2" t="s">
        <v>1014</v>
      </c>
      <c r="C4091" s="5" t="s">
        <v>1027</v>
      </c>
      <c r="D4091" s="2" t="s">
        <v>6070</v>
      </c>
    </row>
    <row r="4092" spans="1:4" ht="13.05" customHeight="1" x14ac:dyDescent="0.3">
      <c r="A4092" s="2" t="s">
        <v>569</v>
      </c>
      <c r="B4092" s="2" t="s">
        <v>1014</v>
      </c>
      <c r="C4092" s="5" t="s">
        <v>1029</v>
      </c>
      <c r="D4092" s="2" t="s">
        <v>6071</v>
      </c>
    </row>
    <row r="4093" spans="1:4" ht="13.05" customHeight="1" x14ac:dyDescent="0.3">
      <c r="A4093" s="2" t="s">
        <v>569</v>
      </c>
      <c r="B4093" s="2" t="s">
        <v>1014</v>
      </c>
      <c r="C4093" s="5" t="s">
        <v>1052</v>
      </c>
      <c r="D4093" s="2" t="s">
        <v>3062</v>
      </c>
    </row>
    <row r="4094" spans="1:4" ht="13.05" customHeight="1" x14ac:dyDescent="0.3">
      <c r="A4094" s="2" t="s">
        <v>572</v>
      </c>
      <c r="B4094" s="2" t="s">
        <v>1014</v>
      </c>
      <c r="C4094" s="5" t="s">
        <v>1015</v>
      </c>
      <c r="D4094" s="2" t="s">
        <v>1016</v>
      </c>
    </row>
    <row r="4095" spans="1:4" ht="13.05" customHeight="1" x14ac:dyDescent="0.3">
      <c r="A4095" s="2" t="s">
        <v>572</v>
      </c>
      <c r="B4095" s="2" t="s">
        <v>1014</v>
      </c>
      <c r="C4095" s="5" t="s">
        <v>1017</v>
      </c>
      <c r="D4095" s="2" t="s">
        <v>1018</v>
      </c>
    </row>
    <row r="4096" spans="1:4" ht="13.05" customHeight="1" x14ac:dyDescent="0.3">
      <c r="A4096" s="2" t="s">
        <v>572</v>
      </c>
      <c r="B4096" s="2" t="s">
        <v>1014</v>
      </c>
      <c r="C4096" s="5" t="s">
        <v>1019</v>
      </c>
      <c r="D4096" s="2" t="s">
        <v>1020</v>
      </c>
    </row>
    <row r="4097" spans="1:4" ht="13.05" customHeight="1" x14ac:dyDescent="0.3">
      <c r="A4097" s="2" t="s">
        <v>572</v>
      </c>
      <c r="B4097" s="2" t="s">
        <v>1014</v>
      </c>
      <c r="C4097" s="5" t="s">
        <v>1021</v>
      </c>
      <c r="D4097" s="2" t="s">
        <v>3056</v>
      </c>
    </row>
    <row r="4098" spans="1:4" ht="13.05" customHeight="1" x14ac:dyDescent="0.3">
      <c r="A4098" s="2" t="s">
        <v>572</v>
      </c>
      <c r="B4098" s="2" t="s">
        <v>1014</v>
      </c>
      <c r="C4098" s="5" t="s">
        <v>1023</v>
      </c>
      <c r="D4098" s="2" t="s">
        <v>3057</v>
      </c>
    </row>
    <row r="4099" spans="1:4" ht="13.05" customHeight="1" x14ac:dyDescent="0.3">
      <c r="A4099" s="2" t="s">
        <v>572</v>
      </c>
      <c r="B4099" s="2" t="s">
        <v>1014</v>
      </c>
      <c r="C4099" s="5" t="s">
        <v>1025</v>
      </c>
      <c r="D4099" s="2" t="s">
        <v>3058</v>
      </c>
    </row>
    <row r="4100" spans="1:4" ht="13.05" customHeight="1" x14ac:dyDescent="0.3">
      <c r="A4100" s="2" t="s">
        <v>572</v>
      </c>
      <c r="B4100" s="2" t="s">
        <v>1014</v>
      </c>
      <c r="C4100" s="5" t="s">
        <v>1027</v>
      </c>
      <c r="D4100" s="2" t="s">
        <v>6070</v>
      </c>
    </row>
    <row r="4101" spans="1:4" ht="13.05" customHeight="1" x14ac:dyDescent="0.3">
      <c r="A4101" s="2" t="s">
        <v>572</v>
      </c>
      <c r="B4101" s="2" t="s">
        <v>1014</v>
      </c>
      <c r="C4101" s="5" t="s">
        <v>1029</v>
      </c>
      <c r="D4101" s="2" t="s">
        <v>6071</v>
      </c>
    </row>
    <row r="4102" spans="1:4" ht="13.05" customHeight="1" x14ac:dyDescent="0.3">
      <c r="A4102" s="2" t="s">
        <v>572</v>
      </c>
      <c r="B4102" s="2" t="s">
        <v>1014</v>
      </c>
      <c r="C4102" s="5" t="s">
        <v>1052</v>
      </c>
      <c r="D4102" s="2" t="s">
        <v>3062</v>
      </c>
    </row>
    <row r="4103" spans="1:4" ht="13.05" customHeight="1" x14ac:dyDescent="0.3">
      <c r="A4103" s="2" t="s">
        <v>574</v>
      </c>
      <c r="B4103" s="2" t="s">
        <v>1014</v>
      </c>
      <c r="C4103" s="5" t="s">
        <v>1015</v>
      </c>
      <c r="D4103" s="2" t="s">
        <v>1016</v>
      </c>
    </row>
    <row r="4104" spans="1:4" ht="13.05" customHeight="1" x14ac:dyDescent="0.3">
      <c r="A4104" s="2" t="s">
        <v>574</v>
      </c>
      <c r="B4104" s="2" t="s">
        <v>1014</v>
      </c>
      <c r="C4104" s="5" t="s">
        <v>1017</v>
      </c>
      <c r="D4104" s="2" t="s">
        <v>1018</v>
      </c>
    </row>
    <row r="4105" spans="1:4" ht="13.05" customHeight="1" x14ac:dyDescent="0.3">
      <c r="A4105" s="2" t="s">
        <v>574</v>
      </c>
      <c r="B4105" s="2" t="s">
        <v>1014</v>
      </c>
      <c r="C4105" s="5" t="s">
        <v>1019</v>
      </c>
      <c r="D4105" s="2" t="s">
        <v>1020</v>
      </c>
    </row>
    <row r="4106" spans="1:4" ht="13.05" customHeight="1" x14ac:dyDescent="0.3">
      <c r="A4106" s="2" t="s">
        <v>574</v>
      </c>
      <c r="B4106" s="2" t="s">
        <v>1014</v>
      </c>
      <c r="C4106" s="5" t="s">
        <v>1021</v>
      </c>
      <c r="D4106" s="2" t="s">
        <v>3056</v>
      </c>
    </row>
    <row r="4107" spans="1:4" ht="13.05" customHeight="1" x14ac:dyDescent="0.3">
      <c r="A4107" s="2" t="s">
        <v>574</v>
      </c>
      <c r="B4107" s="2" t="s">
        <v>1014</v>
      </c>
      <c r="C4107" s="5" t="s">
        <v>1023</v>
      </c>
      <c r="D4107" s="2" t="s">
        <v>3057</v>
      </c>
    </row>
    <row r="4108" spans="1:4" ht="13.05" customHeight="1" x14ac:dyDescent="0.3">
      <c r="A4108" s="2" t="s">
        <v>574</v>
      </c>
      <c r="B4108" s="2" t="s">
        <v>1014</v>
      </c>
      <c r="C4108" s="5" t="s">
        <v>1025</v>
      </c>
      <c r="D4108" s="2" t="s">
        <v>3058</v>
      </c>
    </row>
    <row r="4109" spans="1:4" ht="13.05" customHeight="1" x14ac:dyDescent="0.3">
      <c r="A4109" s="2" t="s">
        <v>574</v>
      </c>
      <c r="B4109" s="2" t="s">
        <v>1014</v>
      </c>
      <c r="C4109" s="5" t="s">
        <v>1027</v>
      </c>
      <c r="D4109" s="2" t="s">
        <v>6070</v>
      </c>
    </row>
    <row r="4110" spans="1:4" ht="13.05" customHeight="1" x14ac:dyDescent="0.3">
      <c r="A4110" s="2" t="s">
        <v>574</v>
      </c>
      <c r="B4110" s="2" t="s">
        <v>1014</v>
      </c>
      <c r="C4110" s="5" t="s">
        <v>1029</v>
      </c>
      <c r="D4110" s="2" t="s">
        <v>6071</v>
      </c>
    </row>
    <row r="4111" spans="1:4" ht="13.05" customHeight="1" x14ac:dyDescent="0.3">
      <c r="A4111" s="2" t="s">
        <v>574</v>
      </c>
      <c r="B4111" s="2" t="s">
        <v>1014</v>
      </c>
      <c r="C4111" s="5" t="s">
        <v>1052</v>
      </c>
      <c r="D4111" s="2" t="s">
        <v>3062</v>
      </c>
    </row>
    <row r="4112" spans="1:4" ht="13.05" customHeight="1" x14ac:dyDescent="0.3">
      <c r="A4112" s="2" t="s">
        <v>576</v>
      </c>
      <c r="B4112" s="2" t="s">
        <v>1014</v>
      </c>
      <c r="C4112" s="5" t="s">
        <v>1015</v>
      </c>
      <c r="D4112" s="2" t="s">
        <v>1016</v>
      </c>
    </row>
    <row r="4113" spans="1:4" ht="13.05" customHeight="1" x14ac:dyDescent="0.3">
      <c r="A4113" s="2" t="s">
        <v>576</v>
      </c>
      <c r="B4113" s="2" t="s">
        <v>1014</v>
      </c>
      <c r="C4113" s="5" t="s">
        <v>1017</v>
      </c>
      <c r="D4113" s="2" t="s">
        <v>1018</v>
      </c>
    </row>
    <row r="4114" spans="1:4" ht="13.05" customHeight="1" x14ac:dyDescent="0.3">
      <c r="A4114" s="2" t="s">
        <v>576</v>
      </c>
      <c r="B4114" s="2" t="s">
        <v>1014</v>
      </c>
      <c r="C4114" s="5" t="s">
        <v>1019</v>
      </c>
      <c r="D4114" s="2" t="s">
        <v>1020</v>
      </c>
    </row>
    <row r="4115" spans="1:4" ht="13.05" customHeight="1" x14ac:dyDescent="0.3">
      <c r="A4115" s="2" t="s">
        <v>576</v>
      </c>
      <c r="B4115" s="2" t="s">
        <v>1014</v>
      </c>
      <c r="C4115" s="5" t="s">
        <v>1021</v>
      </c>
      <c r="D4115" s="2" t="s">
        <v>3056</v>
      </c>
    </row>
    <row r="4116" spans="1:4" ht="13.05" customHeight="1" x14ac:dyDescent="0.3">
      <c r="A4116" s="2" t="s">
        <v>576</v>
      </c>
      <c r="B4116" s="2" t="s">
        <v>1014</v>
      </c>
      <c r="C4116" s="5" t="s">
        <v>1023</v>
      </c>
      <c r="D4116" s="2" t="s">
        <v>3057</v>
      </c>
    </row>
    <row r="4117" spans="1:4" ht="13.05" customHeight="1" x14ac:dyDescent="0.3">
      <c r="A4117" s="2" t="s">
        <v>576</v>
      </c>
      <c r="B4117" s="2" t="s">
        <v>1014</v>
      </c>
      <c r="C4117" s="5" t="s">
        <v>1025</v>
      </c>
      <c r="D4117" s="2" t="s">
        <v>3058</v>
      </c>
    </row>
    <row r="4118" spans="1:4" ht="13.05" customHeight="1" x14ac:dyDescent="0.3">
      <c r="A4118" s="2" t="s">
        <v>576</v>
      </c>
      <c r="B4118" s="2" t="s">
        <v>1014</v>
      </c>
      <c r="C4118" s="5" t="s">
        <v>1027</v>
      </c>
      <c r="D4118" s="2" t="s">
        <v>6070</v>
      </c>
    </row>
    <row r="4119" spans="1:4" ht="13.05" customHeight="1" x14ac:dyDescent="0.3">
      <c r="A4119" s="2" t="s">
        <v>576</v>
      </c>
      <c r="B4119" s="2" t="s">
        <v>1014</v>
      </c>
      <c r="C4119" s="5" t="s">
        <v>1029</v>
      </c>
      <c r="D4119" s="2" t="s">
        <v>6071</v>
      </c>
    </row>
    <row r="4120" spans="1:4" ht="13.05" customHeight="1" x14ac:dyDescent="0.3">
      <c r="A4120" s="2" t="s">
        <v>576</v>
      </c>
      <c r="B4120" s="2" t="s">
        <v>1014</v>
      </c>
      <c r="C4120" s="5" t="s">
        <v>1052</v>
      </c>
      <c r="D4120" s="2" t="s">
        <v>3062</v>
      </c>
    </row>
    <row r="4121" spans="1:4" ht="13.05" customHeight="1" x14ac:dyDescent="0.3">
      <c r="A4121" s="2" t="s">
        <v>578</v>
      </c>
      <c r="B4121" s="2" t="s">
        <v>1014</v>
      </c>
      <c r="C4121" s="5" t="s">
        <v>1015</v>
      </c>
      <c r="D4121" s="2" t="s">
        <v>1016</v>
      </c>
    </row>
    <row r="4122" spans="1:4" ht="13.05" customHeight="1" x14ac:dyDescent="0.3">
      <c r="A4122" s="2" t="s">
        <v>578</v>
      </c>
      <c r="B4122" s="2" t="s">
        <v>1014</v>
      </c>
      <c r="C4122" s="5" t="s">
        <v>1017</v>
      </c>
      <c r="D4122" s="2" t="s">
        <v>1018</v>
      </c>
    </row>
    <row r="4123" spans="1:4" ht="13.05" customHeight="1" x14ac:dyDescent="0.3">
      <c r="A4123" s="2" t="s">
        <v>578</v>
      </c>
      <c r="B4123" s="2" t="s">
        <v>1014</v>
      </c>
      <c r="C4123" s="5" t="s">
        <v>1019</v>
      </c>
      <c r="D4123" s="2" t="s">
        <v>1020</v>
      </c>
    </row>
    <row r="4124" spans="1:4" ht="13.05" customHeight="1" x14ac:dyDescent="0.3">
      <c r="A4124" s="2" t="s">
        <v>578</v>
      </c>
      <c r="B4124" s="2" t="s">
        <v>1014</v>
      </c>
      <c r="C4124" s="5" t="s">
        <v>1021</v>
      </c>
      <c r="D4124" s="2" t="s">
        <v>3056</v>
      </c>
    </row>
    <row r="4125" spans="1:4" ht="13.05" customHeight="1" x14ac:dyDescent="0.3">
      <c r="A4125" s="2" t="s">
        <v>578</v>
      </c>
      <c r="B4125" s="2" t="s">
        <v>1014</v>
      </c>
      <c r="C4125" s="5" t="s">
        <v>1023</v>
      </c>
      <c r="D4125" s="2" t="s">
        <v>3057</v>
      </c>
    </row>
    <row r="4126" spans="1:4" ht="13.05" customHeight="1" x14ac:dyDescent="0.3">
      <c r="A4126" s="2" t="s">
        <v>578</v>
      </c>
      <c r="B4126" s="2" t="s">
        <v>1014</v>
      </c>
      <c r="C4126" s="5" t="s">
        <v>1025</v>
      </c>
      <c r="D4126" s="2" t="s">
        <v>3058</v>
      </c>
    </row>
    <row r="4127" spans="1:4" ht="13.05" customHeight="1" x14ac:dyDescent="0.3">
      <c r="A4127" s="2" t="s">
        <v>578</v>
      </c>
      <c r="B4127" s="2" t="s">
        <v>1014</v>
      </c>
      <c r="C4127" s="5" t="s">
        <v>1027</v>
      </c>
      <c r="D4127" s="2" t="s">
        <v>6070</v>
      </c>
    </row>
    <row r="4128" spans="1:4" ht="13.05" customHeight="1" x14ac:dyDescent="0.3">
      <c r="A4128" s="2" t="s">
        <v>578</v>
      </c>
      <c r="B4128" s="2" t="s">
        <v>1014</v>
      </c>
      <c r="C4128" s="5" t="s">
        <v>1029</v>
      </c>
      <c r="D4128" s="2" t="s">
        <v>6071</v>
      </c>
    </row>
    <row r="4129" spans="1:4" ht="13.05" customHeight="1" x14ac:dyDescent="0.3">
      <c r="A4129" s="2" t="s">
        <v>578</v>
      </c>
      <c r="B4129" s="2" t="s">
        <v>1014</v>
      </c>
      <c r="C4129" s="5" t="s">
        <v>1052</v>
      </c>
      <c r="D4129" s="2" t="s">
        <v>3062</v>
      </c>
    </row>
    <row r="4130" spans="1:4" ht="13.05" customHeight="1" x14ac:dyDescent="0.3">
      <c r="A4130" s="2" t="s">
        <v>580</v>
      </c>
      <c r="B4130" s="2" t="s">
        <v>1014</v>
      </c>
      <c r="C4130" s="5" t="s">
        <v>1015</v>
      </c>
      <c r="D4130" s="2" t="s">
        <v>1016</v>
      </c>
    </row>
    <row r="4131" spans="1:4" ht="13.05" customHeight="1" x14ac:dyDescent="0.3">
      <c r="A4131" s="2" t="s">
        <v>580</v>
      </c>
      <c r="B4131" s="2" t="s">
        <v>1014</v>
      </c>
      <c r="C4131" s="5" t="s">
        <v>1017</v>
      </c>
      <c r="D4131" s="2" t="s">
        <v>1018</v>
      </c>
    </row>
    <row r="4132" spans="1:4" ht="13.05" customHeight="1" x14ac:dyDescent="0.3">
      <c r="A4132" s="2" t="s">
        <v>580</v>
      </c>
      <c r="B4132" s="2" t="s">
        <v>1014</v>
      </c>
      <c r="C4132" s="5" t="s">
        <v>1019</v>
      </c>
      <c r="D4132" s="2" t="s">
        <v>1020</v>
      </c>
    </row>
    <row r="4133" spans="1:4" ht="13.05" customHeight="1" x14ac:dyDescent="0.3">
      <c r="A4133" s="2" t="s">
        <v>580</v>
      </c>
      <c r="B4133" s="2" t="s">
        <v>1014</v>
      </c>
      <c r="C4133" s="5" t="s">
        <v>1021</v>
      </c>
      <c r="D4133" s="2" t="s">
        <v>3056</v>
      </c>
    </row>
    <row r="4134" spans="1:4" ht="13.05" customHeight="1" x14ac:dyDescent="0.3">
      <c r="A4134" s="2" t="s">
        <v>580</v>
      </c>
      <c r="B4134" s="2" t="s">
        <v>1014</v>
      </c>
      <c r="C4134" s="5" t="s">
        <v>1023</v>
      </c>
      <c r="D4134" s="2" t="s">
        <v>3057</v>
      </c>
    </row>
    <row r="4135" spans="1:4" ht="13.05" customHeight="1" x14ac:dyDescent="0.3">
      <c r="A4135" s="2" t="s">
        <v>580</v>
      </c>
      <c r="B4135" s="2" t="s">
        <v>1014</v>
      </c>
      <c r="C4135" s="5" t="s">
        <v>1025</v>
      </c>
      <c r="D4135" s="2" t="s">
        <v>3058</v>
      </c>
    </row>
    <row r="4136" spans="1:4" ht="13.05" customHeight="1" x14ac:dyDescent="0.3">
      <c r="A4136" s="2" t="s">
        <v>580</v>
      </c>
      <c r="B4136" s="2" t="s">
        <v>1014</v>
      </c>
      <c r="C4136" s="5" t="s">
        <v>1027</v>
      </c>
      <c r="D4136" s="2" t="s">
        <v>6070</v>
      </c>
    </row>
    <row r="4137" spans="1:4" ht="13.05" customHeight="1" x14ac:dyDescent="0.3">
      <c r="A4137" s="2" t="s">
        <v>580</v>
      </c>
      <c r="B4137" s="2" t="s">
        <v>1014</v>
      </c>
      <c r="C4137" s="5" t="s">
        <v>1029</v>
      </c>
      <c r="D4137" s="2" t="s">
        <v>6071</v>
      </c>
    </row>
    <row r="4138" spans="1:4" ht="13.05" customHeight="1" x14ac:dyDescent="0.3">
      <c r="A4138" s="2" t="s">
        <v>580</v>
      </c>
      <c r="B4138" s="2" t="s">
        <v>1014</v>
      </c>
      <c r="C4138" s="5" t="s">
        <v>1052</v>
      </c>
      <c r="D4138" s="2" t="s">
        <v>3062</v>
      </c>
    </row>
    <row r="4139" spans="1:4" ht="13.05" customHeight="1" x14ac:dyDescent="0.3">
      <c r="A4139" s="2" t="s">
        <v>582</v>
      </c>
      <c r="B4139" s="2" t="s">
        <v>1014</v>
      </c>
      <c r="C4139" s="5" t="s">
        <v>1017</v>
      </c>
      <c r="D4139" s="2" t="s">
        <v>1018</v>
      </c>
    </row>
    <row r="4140" spans="1:4" ht="13.05" customHeight="1" x14ac:dyDescent="0.3">
      <c r="A4140" s="2" t="s">
        <v>582</v>
      </c>
      <c r="B4140" s="2" t="s">
        <v>1014</v>
      </c>
      <c r="C4140" s="5" t="s">
        <v>1019</v>
      </c>
      <c r="D4140" s="2" t="s">
        <v>1020</v>
      </c>
    </row>
    <row r="4141" spans="1:4" ht="13.05" customHeight="1" x14ac:dyDescent="0.3">
      <c r="A4141" s="2" t="s">
        <v>585</v>
      </c>
      <c r="B4141" s="2" t="s">
        <v>1014</v>
      </c>
      <c r="C4141" s="5" t="s">
        <v>1015</v>
      </c>
      <c r="D4141" s="2" t="s">
        <v>1016</v>
      </c>
    </row>
    <row r="4142" spans="1:4" ht="13.05" customHeight="1" x14ac:dyDescent="0.3">
      <c r="A4142" s="2" t="s">
        <v>585</v>
      </c>
      <c r="B4142" s="2" t="s">
        <v>1014</v>
      </c>
      <c r="C4142" s="5" t="s">
        <v>1017</v>
      </c>
      <c r="D4142" s="2" t="s">
        <v>1018</v>
      </c>
    </row>
    <row r="4143" spans="1:4" ht="13.05" customHeight="1" x14ac:dyDescent="0.3">
      <c r="A4143" s="2" t="s">
        <v>585</v>
      </c>
      <c r="B4143" s="2" t="s">
        <v>1014</v>
      </c>
      <c r="C4143" s="5" t="s">
        <v>1019</v>
      </c>
      <c r="D4143" s="2" t="s">
        <v>1020</v>
      </c>
    </row>
    <row r="4144" spans="1:4" ht="13.05" customHeight="1" x14ac:dyDescent="0.3">
      <c r="A4144" s="2" t="s">
        <v>585</v>
      </c>
      <c r="B4144" s="2" t="s">
        <v>1014</v>
      </c>
      <c r="C4144" s="5" t="s">
        <v>1021</v>
      </c>
      <c r="D4144" s="2" t="s">
        <v>3056</v>
      </c>
    </row>
    <row r="4145" spans="1:4" ht="13.05" customHeight="1" x14ac:dyDescent="0.3">
      <c r="A4145" s="2" t="s">
        <v>585</v>
      </c>
      <c r="B4145" s="2" t="s">
        <v>1014</v>
      </c>
      <c r="C4145" s="5" t="s">
        <v>1023</v>
      </c>
      <c r="D4145" s="2" t="s">
        <v>3057</v>
      </c>
    </row>
    <row r="4146" spans="1:4" ht="13.05" customHeight="1" x14ac:dyDescent="0.3">
      <c r="A4146" s="2" t="s">
        <v>585</v>
      </c>
      <c r="B4146" s="2" t="s">
        <v>1014</v>
      </c>
      <c r="C4146" s="5" t="s">
        <v>1025</v>
      </c>
      <c r="D4146" s="2" t="s">
        <v>3058</v>
      </c>
    </row>
    <row r="4147" spans="1:4" ht="13.05" customHeight="1" x14ac:dyDescent="0.3">
      <c r="A4147" s="2" t="s">
        <v>585</v>
      </c>
      <c r="B4147" s="2" t="s">
        <v>1014</v>
      </c>
      <c r="C4147" s="5" t="s">
        <v>1027</v>
      </c>
      <c r="D4147" s="2" t="s">
        <v>6070</v>
      </c>
    </row>
    <row r="4148" spans="1:4" ht="13.05" customHeight="1" x14ac:dyDescent="0.3">
      <c r="A4148" s="2" t="s">
        <v>585</v>
      </c>
      <c r="B4148" s="2" t="s">
        <v>1014</v>
      </c>
      <c r="C4148" s="5" t="s">
        <v>1029</v>
      </c>
      <c r="D4148" s="2" t="s">
        <v>6071</v>
      </c>
    </row>
    <row r="4149" spans="1:4" ht="13.05" customHeight="1" x14ac:dyDescent="0.3">
      <c r="A4149" s="2" t="s">
        <v>585</v>
      </c>
      <c r="B4149" s="2" t="s">
        <v>1014</v>
      </c>
      <c r="C4149" s="5" t="s">
        <v>1052</v>
      </c>
      <c r="D4149" s="2" t="s">
        <v>3062</v>
      </c>
    </row>
    <row r="4150" spans="1:4" ht="13.05" customHeight="1" x14ac:dyDescent="0.3">
      <c r="A4150" s="2" t="s">
        <v>587</v>
      </c>
      <c r="B4150" s="2" t="s">
        <v>1014</v>
      </c>
      <c r="C4150" s="5" t="s">
        <v>1015</v>
      </c>
      <c r="D4150" s="2" t="s">
        <v>1016</v>
      </c>
    </row>
    <row r="4151" spans="1:4" ht="13.05" customHeight="1" x14ac:dyDescent="0.3">
      <c r="A4151" s="2" t="s">
        <v>587</v>
      </c>
      <c r="B4151" s="2" t="s">
        <v>1014</v>
      </c>
      <c r="C4151" s="5" t="s">
        <v>1017</v>
      </c>
      <c r="D4151" s="2" t="s">
        <v>1018</v>
      </c>
    </row>
    <row r="4152" spans="1:4" ht="13.05" customHeight="1" x14ac:dyDescent="0.3">
      <c r="A4152" s="2" t="s">
        <v>587</v>
      </c>
      <c r="B4152" s="2" t="s">
        <v>1014</v>
      </c>
      <c r="C4152" s="5" t="s">
        <v>1019</v>
      </c>
      <c r="D4152" s="2" t="s">
        <v>1020</v>
      </c>
    </row>
    <row r="4153" spans="1:4" ht="13.05" customHeight="1" x14ac:dyDescent="0.3">
      <c r="A4153" s="2" t="s">
        <v>587</v>
      </c>
      <c r="B4153" s="2" t="s">
        <v>1014</v>
      </c>
      <c r="C4153" s="5" t="s">
        <v>1021</v>
      </c>
      <c r="D4153" s="2" t="s">
        <v>3056</v>
      </c>
    </row>
    <row r="4154" spans="1:4" ht="13.05" customHeight="1" x14ac:dyDescent="0.3">
      <c r="A4154" s="2" t="s">
        <v>587</v>
      </c>
      <c r="B4154" s="2" t="s">
        <v>1014</v>
      </c>
      <c r="C4154" s="5" t="s">
        <v>1023</v>
      </c>
      <c r="D4154" s="2" t="s">
        <v>3057</v>
      </c>
    </row>
    <row r="4155" spans="1:4" ht="13.05" customHeight="1" x14ac:dyDescent="0.3">
      <c r="A4155" s="2" t="s">
        <v>587</v>
      </c>
      <c r="B4155" s="2" t="s">
        <v>1014</v>
      </c>
      <c r="C4155" s="5" t="s">
        <v>1025</v>
      </c>
      <c r="D4155" s="2" t="s">
        <v>3058</v>
      </c>
    </row>
    <row r="4156" spans="1:4" ht="13.05" customHeight="1" x14ac:dyDescent="0.3">
      <c r="A4156" s="2" t="s">
        <v>587</v>
      </c>
      <c r="B4156" s="2" t="s">
        <v>1014</v>
      </c>
      <c r="C4156" s="5" t="s">
        <v>1027</v>
      </c>
      <c r="D4156" s="2" t="s">
        <v>6070</v>
      </c>
    </row>
    <row r="4157" spans="1:4" ht="13.05" customHeight="1" x14ac:dyDescent="0.3">
      <c r="A4157" s="2" t="s">
        <v>587</v>
      </c>
      <c r="B4157" s="2" t="s">
        <v>1014</v>
      </c>
      <c r="C4157" s="5" t="s">
        <v>1029</v>
      </c>
      <c r="D4157" s="2" t="s">
        <v>6071</v>
      </c>
    </row>
    <row r="4158" spans="1:4" ht="13.05" customHeight="1" x14ac:dyDescent="0.3">
      <c r="A4158" s="2" t="s">
        <v>587</v>
      </c>
      <c r="B4158" s="2" t="s">
        <v>1014</v>
      </c>
      <c r="C4158" s="5" t="s">
        <v>1052</v>
      </c>
      <c r="D4158" s="2" t="s">
        <v>3062</v>
      </c>
    </row>
    <row r="4159" spans="1:4" ht="13.05" customHeight="1" x14ac:dyDescent="0.3">
      <c r="A4159" s="2" t="s">
        <v>589</v>
      </c>
      <c r="B4159" s="2" t="s">
        <v>1014</v>
      </c>
      <c r="C4159" s="5" t="s">
        <v>1044</v>
      </c>
      <c r="D4159" s="2" t="s">
        <v>1045</v>
      </c>
    </row>
    <row r="4160" spans="1:4" ht="13.05" customHeight="1" x14ac:dyDescent="0.3">
      <c r="A4160" s="2" t="s">
        <v>589</v>
      </c>
      <c r="B4160" s="2" t="s">
        <v>1014</v>
      </c>
      <c r="C4160" s="5" t="s">
        <v>1015</v>
      </c>
      <c r="D4160" s="2" t="s">
        <v>1016</v>
      </c>
    </row>
    <row r="4161" spans="1:4" ht="13.05" customHeight="1" x14ac:dyDescent="0.3">
      <c r="A4161" s="2" t="s">
        <v>589</v>
      </c>
      <c r="B4161" s="2" t="s">
        <v>1014</v>
      </c>
      <c r="C4161" s="5" t="s">
        <v>1017</v>
      </c>
      <c r="D4161" s="2" t="s">
        <v>1018</v>
      </c>
    </row>
    <row r="4162" spans="1:4" ht="13.05" customHeight="1" x14ac:dyDescent="0.3">
      <c r="A4162" s="2" t="s">
        <v>594</v>
      </c>
      <c r="B4162" s="2" t="s">
        <v>1033</v>
      </c>
      <c r="C4162" s="5" t="s">
        <v>1021</v>
      </c>
      <c r="D4162" s="2" t="s">
        <v>6072</v>
      </c>
    </row>
    <row r="4163" spans="1:4" ht="13.05" customHeight="1" x14ac:dyDescent="0.3">
      <c r="A4163" s="2" t="s">
        <v>594</v>
      </c>
      <c r="B4163" s="2" t="s">
        <v>1033</v>
      </c>
      <c r="C4163" s="5" t="s">
        <v>1023</v>
      </c>
      <c r="D4163" s="2" t="s">
        <v>6073</v>
      </c>
    </row>
    <row r="4164" spans="1:4" ht="13.05" customHeight="1" x14ac:dyDescent="0.3">
      <c r="A4164" s="2" t="s">
        <v>596</v>
      </c>
      <c r="B4164" s="2" t="s">
        <v>1033</v>
      </c>
      <c r="C4164" s="5" t="s">
        <v>1021</v>
      </c>
      <c r="D4164" s="2" t="s">
        <v>6074</v>
      </c>
    </row>
    <row r="4165" spans="1:4" ht="13.05" customHeight="1" x14ac:dyDescent="0.3">
      <c r="A4165" s="2" t="s">
        <v>596</v>
      </c>
      <c r="B4165" s="2" t="s">
        <v>1033</v>
      </c>
      <c r="C4165" s="5" t="s">
        <v>1023</v>
      </c>
      <c r="D4165" s="2" t="s">
        <v>6075</v>
      </c>
    </row>
    <row r="4166" spans="1:4" ht="13.05" customHeight="1" x14ac:dyDescent="0.3">
      <c r="A4166" s="2" t="s">
        <v>596</v>
      </c>
      <c r="B4166" s="2" t="s">
        <v>1033</v>
      </c>
      <c r="C4166" s="5" t="s">
        <v>1025</v>
      </c>
      <c r="D4166" s="2" t="s">
        <v>6076</v>
      </c>
    </row>
    <row r="4167" spans="1:4" ht="13.05" customHeight="1" x14ac:dyDescent="0.3">
      <c r="A4167" s="2" t="s">
        <v>600</v>
      </c>
      <c r="B4167" s="2" t="s">
        <v>1033</v>
      </c>
      <c r="C4167" s="5" t="s">
        <v>1023</v>
      </c>
      <c r="D4167" s="2" t="s">
        <v>6075</v>
      </c>
    </row>
    <row r="4168" spans="1:4" ht="13.05" customHeight="1" x14ac:dyDescent="0.3">
      <c r="A4168" s="2" t="s">
        <v>600</v>
      </c>
      <c r="B4168" s="2" t="s">
        <v>1033</v>
      </c>
      <c r="C4168" s="5" t="s">
        <v>1025</v>
      </c>
      <c r="D4168" s="2" t="s">
        <v>6076</v>
      </c>
    </row>
    <row r="4169" spans="1:4" ht="13.05" customHeight="1" x14ac:dyDescent="0.3">
      <c r="A4169" s="2" t="s">
        <v>602</v>
      </c>
      <c r="B4169" s="2" t="s">
        <v>1014</v>
      </c>
      <c r="C4169" s="5" t="s">
        <v>1015</v>
      </c>
      <c r="D4169" s="2" t="s">
        <v>1016</v>
      </c>
    </row>
    <row r="4170" spans="1:4" ht="13.05" customHeight="1" x14ac:dyDescent="0.3">
      <c r="A4170" s="2" t="s">
        <v>602</v>
      </c>
      <c r="B4170" s="2" t="s">
        <v>1014</v>
      </c>
      <c r="C4170" s="5" t="s">
        <v>1017</v>
      </c>
      <c r="D4170" s="2" t="s">
        <v>1018</v>
      </c>
    </row>
    <row r="4171" spans="1:4" ht="13.05" customHeight="1" x14ac:dyDescent="0.3">
      <c r="A4171" s="2" t="s">
        <v>602</v>
      </c>
      <c r="B4171" s="2" t="s">
        <v>1014</v>
      </c>
      <c r="C4171" s="5" t="s">
        <v>1021</v>
      </c>
      <c r="D4171" s="2" t="s">
        <v>6077</v>
      </c>
    </row>
    <row r="4172" spans="1:4" ht="13.05" customHeight="1" x14ac:dyDescent="0.3">
      <c r="A4172" s="2" t="s">
        <v>602</v>
      </c>
      <c r="B4172" s="2" t="s">
        <v>1014</v>
      </c>
      <c r="C4172" s="5" t="s">
        <v>1023</v>
      </c>
      <c r="D4172" s="2" t="s">
        <v>6078</v>
      </c>
    </row>
    <row r="4173" spans="1:4" ht="13.05" customHeight="1" x14ac:dyDescent="0.3">
      <c r="A4173" s="2" t="s">
        <v>607</v>
      </c>
      <c r="B4173" s="2" t="s">
        <v>1014</v>
      </c>
      <c r="C4173" s="5" t="s">
        <v>1044</v>
      </c>
      <c r="D4173" s="2" t="s">
        <v>1045</v>
      </c>
    </row>
    <row r="4174" spans="1:4" ht="13.05" customHeight="1" x14ac:dyDescent="0.3">
      <c r="A4174" s="2" t="s">
        <v>607</v>
      </c>
      <c r="B4174" s="2" t="s">
        <v>1014</v>
      </c>
      <c r="C4174" s="5" t="s">
        <v>1015</v>
      </c>
      <c r="D4174" s="2" t="s">
        <v>1092</v>
      </c>
    </row>
    <row r="4175" spans="1:4" ht="13.05" customHeight="1" x14ac:dyDescent="0.3">
      <c r="A4175" s="2" t="s">
        <v>607</v>
      </c>
      <c r="B4175" s="2" t="s">
        <v>1014</v>
      </c>
      <c r="C4175" s="5" t="s">
        <v>1017</v>
      </c>
      <c r="D4175" s="2" t="s">
        <v>1086</v>
      </c>
    </row>
    <row r="4176" spans="1:4" ht="13.05" customHeight="1" x14ac:dyDescent="0.3">
      <c r="A4176" s="2" t="s">
        <v>607</v>
      </c>
      <c r="B4176" s="2" t="s">
        <v>1014</v>
      </c>
      <c r="C4176" s="5" t="s">
        <v>1019</v>
      </c>
      <c r="D4176" s="2" t="s">
        <v>1020</v>
      </c>
    </row>
    <row r="4177" spans="1:4" ht="13.05" customHeight="1" x14ac:dyDescent="0.3">
      <c r="A4177" s="2" t="s">
        <v>610</v>
      </c>
      <c r="B4177" s="2" t="s">
        <v>1014</v>
      </c>
      <c r="C4177" s="5" t="s">
        <v>1044</v>
      </c>
      <c r="D4177" s="2" t="s">
        <v>1045</v>
      </c>
    </row>
    <row r="4178" spans="1:4" ht="13.05" customHeight="1" x14ac:dyDescent="0.3">
      <c r="A4178" s="2" t="s">
        <v>610</v>
      </c>
      <c r="B4178" s="2" t="s">
        <v>1014</v>
      </c>
      <c r="C4178" s="5" t="s">
        <v>1015</v>
      </c>
      <c r="D4178" s="2" t="s">
        <v>3055</v>
      </c>
    </row>
    <row r="4179" spans="1:4" ht="13.05" customHeight="1" x14ac:dyDescent="0.3">
      <c r="A4179" s="2" t="s">
        <v>610</v>
      </c>
      <c r="B4179" s="2" t="s">
        <v>1014</v>
      </c>
      <c r="C4179" s="5" t="s">
        <v>1017</v>
      </c>
      <c r="D4179" s="2" t="s">
        <v>3054</v>
      </c>
    </row>
    <row r="4180" spans="1:4" ht="13.05" customHeight="1" x14ac:dyDescent="0.3">
      <c r="A4180" s="2" t="s">
        <v>610</v>
      </c>
      <c r="B4180" s="2" t="s">
        <v>1014</v>
      </c>
      <c r="C4180" s="5" t="s">
        <v>1021</v>
      </c>
      <c r="D4180" s="2" t="s">
        <v>3056</v>
      </c>
    </row>
    <row r="4181" spans="1:4" ht="13.05" customHeight="1" x14ac:dyDescent="0.3">
      <c r="A4181" s="2" t="s">
        <v>610</v>
      </c>
      <c r="B4181" s="2" t="s">
        <v>1014</v>
      </c>
      <c r="C4181" s="5" t="s">
        <v>1023</v>
      </c>
      <c r="D4181" s="2" t="s">
        <v>3057</v>
      </c>
    </row>
    <row r="4182" spans="1:4" ht="13.05" customHeight="1" x14ac:dyDescent="0.3">
      <c r="A4182" s="2" t="s">
        <v>610</v>
      </c>
      <c r="B4182" s="2" t="s">
        <v>1014</v>
      </c>
      <c r="C4182" s="5" t="s">
        <v>1025</v>
      </c>
      <c r="D4182" s="2" t="s">
        <v>3058</v>
      </c>
    </row>
    <row r="4183" spans="1:4" ht="13.05" customHeight="1" x14ac:dyDescent="0.3">
      <c r="A4183" s="2" t="s">
        <v>610</v>
      </c>
      <c r="B4183" s="2" t="s">
        <v>1014</v>
      </c>
      <c r="C4183" s="5" t="s">
        <v>1027</v>
      </c>
      <c r="D4183" s="2" t="s">
        <v>3059</v>
      </c>
    </row>
    <row r="4184" spans="1:4" ht="13.05" customHeight="1" x14ac:dyDescent="0.3">
      <c r="A4184" s="2" t="s">
        <v>610</v>
      </c>
      <c r="B4184" s="2" t="s">
        <v>1014</v>
      </c>
      <c r="C4184" s="5" t="s">
        <v>1029</v>
      </c>
      <c r="D4184" s="2" t="s">
        <v>3060</v>
      </c>
    </row>
    <row r="4185" spans="1:4" ht="13.05" customHeight="1" x14ac:dyDescent="0.3">
      <c r="A4185" s="2" t="s">
        <v>610</v>
      </c>
      <c r="B4185" s="2" t="s">
        <v>1014</v>
      </c>
      <c r="C4185" s="5" t="s">
        <v>1031</v>
      </c>
      <c r="D4185" s="2" t="s">
        <v>3061</v>
      </c>
    </row>
    <row r="4186" spans="1:4" ht="13.05" customHeight="1" x14ac:dyDescent="0.3">
      <c r="A4186" s="2" t="s">
        <v>610</v>
      </c>
      <c r="B4186" s="2" t="s">
        <v>1014</v>
      </c>
      <c r="C4186" s="5" t="s">
        <v>1052</v>
      </c>
      <c r="D4186" s="2" t="s">
        <v>3062</v>
      </c>
    </row>
    <row r="4187" spans="1:4" ht="13.05" customHeight="1" x14ac:dyDescent="0.3">
      <c r="A4187" s="2" t="s">
        <v>614</v>
      </c>
      <c r="B4187" s="2" t="s">
        <v>1014</v>
      </c>
      <c r="C4187" s="5" t="s">
        <v>1015</v>
      </c>
      <c r="D4187" s="2" t="s">
        <v>1016</v>
      </c>
    </row>
    <row r="4188" spans="1:4" ht="13.05" customHeight="1" x14ac:dyDescent="0.3">
      <c r="A4188" s="2" t="s">
        <v>614</v>
      </c>
      <c r="B4188" s="2" t="s">
        <v>1014</v>
      </c>
      <c r="C4188" s="5" t="s">
        <v>1017</v>
      </c>
      <c r="D4188" s="2" t="s">
        <v>1018</v>
      </c>
    </row>
    <row r="4189" spans="1:4" ht="13.05" customHeight="1" x14ac:dyDescent="0.3">
      <c r="A4189" s="2" t="s">
        <v>614</v>
      </c>
      <c r="B4189" s="2" t="s">
        <v>1014</v>
      </c>
      <c r="C4189" s="5" t="s">
        <v>1021</v>
      </c>
      <c r="D4189" s="2" t="s">
        <v>6079</v>
      </c>
    </row>
    <row r="4190" spans="1:4" ht="13.05" customHeight="1" x14ac:dyDescent="0.3">
      <c r="A4190" s="2" t="s">
        <v>614</v>
      </c>
      <c r="B4190" s="2" t="s">
        <v>1014</v>
      </c>
      <c r="C4190" s="5" t="s">
        <v>1023</v>
      </c>
      <c r="D4190" s="2" t="s">
        <v>6080</v>
      </c>
    </row>
    <row r="4191" spans="1:4" ht="13.05" customHeight="1" x14ac:dyDescent="0.3">
      <c r="A4191" s="2" t="s">
        <v>614</v>
      </c>
      <c r="B4191" s="2" t="s">
        <v>1014</v>
      </c>
      <c r="C4191" s="5" t="s">
        <v>1025</v>
      </c>
      <c r="D4191" s="2" t="s">
        <v>6081</v>
      </c>
    </row>
    <row r="4192" spans="1:4" ht="13.05" customHeight="1" x14ac:dyDescent="0.3">
      <c r="A4192" s="2" t="s">
        <v>614</v>
      </c>
      <c r="B4192" s="2" t="s">
        <v>1014</v>
      </c>
      <c r="C4192" s="5" t="s">
        <v>1027</v>
      </c>
      <c r="D4192" s="2" t="s">
        <v>6082</v>
      </c>
    </row>
    <row r="4193" spans="1:4" ht="13.05" customHeight="1" x14ac:dyDescent="0.3">
      <c r="A4193" s="2" t="s">
        <v>614</v>
      </c>
      <c r="B4193" s="2" t="s">
        <v>1014</v>
      </c>
      <c r="C4193" s="5" t="s">
        <v>1029</v>
      </c>
      <c r="D4193" s="2" t="s">
        <v>6083</v>
      </c>
    </row>
    <row r="4194" spans="1:4" ht="13.05" customHeight="1" x14ac:dyDescent="0.3">
      <c r="A4194" s="2" t="s">
        <v>614</v>
      </c>
      <c r="B4194" s="2" t="s">
        <v>1014</v>
      </c>
      <c r="C4194" s="5" t="s">
        <v>1031</v>
      </c>
      <c r="D4194" s="2" t="s">
        <v>6084</v>
      </c>
    </row>
    <row r="4195" spans="1:4" ht="13.05" customHeight="1" x14ac:dyDescent="0.3">
      <c r="A4195" s="2" t="s">
        <v>614</v>
      </c>
      <c r="B4195" s="2" t="s">
        <v>1014</v>
      </c>
      <c r="C4195" s="5" t="s">
        <v>1040</v>
      </c>
      <c r="D4195" s="2" t="s">
        <v>6085</v>
      </c>
    </row>
    <row r="4196" spans="1:4" ht="13.05" customHeight="1" x14ac:dyDescent="0.3">
      <c r="A4196" s="2" t="s">
        <v>617</v>
      </c>
      <c r="B4196" s="2" t="s">
        <v>1014</v>
      </c>
      <c r="C4196" s="5" t="s">
        <v>1023</v>
      </c>
      <c r="D4196" s="2" t="s">
        <v>6075</v>
      </c>
    </row>
    <row r="4197" spans="1:4" ht="13.05" customHeight="1" x14ac:dyDescent="0.3">
      <c r="A4197" s="2" t="s">
        <v>617</v>
      </c>
      <c r="B4197" s="2" t="s">
        <v>1014</v>
      </c>
      <c r="C4197" s="5" t="s">
        <v>1025</v>
      </c>
      <c r="D4197" s="2" t="s">
        <v>6076</v>
      </c>
    </row>
    <row r="4198" spans="1:4" ht="13.05" customHeight="1" x14ac:dyDescent="0.3">
      <c r="A4198" s="2" t="s">
        <v>618</v>
      </c>
      <c r="B4198" s="2" t="s">
        <v>1014</v>
      </c>
      <c r="C4198" s="5" t="s">
        <v>1044</v>
      </c>
      <c r="D4198" s="2" t="s">
        <v>1045</v>
      </c>
    </row>
    <row r="4199" spans="1:4" ht="13.05" customHeight="1" x14ac:dyDescent="0.3">
      <c r="A4199" s="2" t="s">
        <v>618</v>
      </c>
      <c r="B4199" s="2" t="s">
        <v>1014</v>
      </c>
      <c r="C4199" s="5" t="s">
        <v>1015</v>
      </c>
      <c r="D4199" s="2" t="s">
        <v>1092</v>
      </c>
    </row>
    <row r="4200" spans="1:4" ht="13.05" customHeight="1" x14ac:dyDescent="0.3">
      <c r="A4200" s="2" t="s">
        <v>618</v>
      </c>
      <c r="B4200" s="2" t="s">
        <v>1014</v>
      </c>
      <c r="C4200" s="5" t="s">
        <v>1017</v>
      </c>
      <c r="D4200" s="2" t="s">
        <v>1086</v>
      </c>
    </row>
    <row r="4201" spans="1:4" ht="13.05" customHeight="1" x14ac:dyDescent="0.3">
      <c r="A4201" s="2" t="s">
        <v>618</v>
      </c>
      <c r="B4201" s="2" t="s">
        <v>1014</v>
      </c>
      <c r="C4201" s="5" t="s">
        <v>1021</v>
      </c>
      <c r="D4201" s="2" t="s">
        <v>6086</v>
      </c>
    </row>
    <row r="4202" spans="1:4" ht="13.05" customHeight="1" x14ac:dyDescent="0.3">
      <c r="A4202" s="2" t="s">
        <v>618</v>
      </c>
      <c r="B4202" s="2" t="s">
        <v>1014</v>
      </c>
      <c r="C4202" s="5" t="s">
        <v>1023</v>
      </c>
      <c r="D4202" s="2" t="s">
        <v>6087</v>
      </c>
    </row>
    <row r="4203" spans="1:4" ht="13.05" customHeight="1" x14ac:dyDescent="0.3">
      <c r="A4203" s="2" t="s">
        <v>623</v>
      </c>
      <c r="B4203" s="2" t="s">
        <v>1014</v>
      </c>
      <c r="C4203" s="5" t="s">
        <v>1044</v>
      </c>
      <c r="D4203" s="2" t="s">
        <v>1045</v>
      </c>
    </row>
    <row r="4204" spans="1:4" ht="13.05" customHeight="1" x14ac:dyDescent="0.3">
      <c r="A4204" s="2" t="s">
        <v>623</v>
      </c>
      <c r="B4204" s="2" t="s">
        <v>1014</v>
      </c>
      <c r="C4204" s="5" t="s">
        <v>1015</v>
      </c>
      <c r="D4204" s="2" t="s">
        <v>1016</v>
      </c>
    </row>
    <row r="4205" spans="1:4" ht="13.05" customHeight="1" x14ac:dyDescent="0.3">
      <c r="A4205" s="2" t="s">
        <v>623</v>
      </c>
      <c r="B4205" s="2" t="s">
        <v>1014</v>
      </c>
      <c r="C4205" s="5" t="s">
        <v>1017</v>
      </c>
      <c r="D4205" s="2" t="s">
        <v>1018</v>
      </c>
    </row>
    <row r="4206" spans="1:4" ht="13.05" customHeight="1" x14ac:dyDescent="0.3">
      <c r="A4206" s="2" t="s">
        <v>623</v>
      </c>
      <c r="B4206" s="2" t="s">
        <v>1014</v>
      </c>
      <c r="C4206" s="5" t="s">
        <v>1019</v>
      </c>
      <c r="D4206" s="2" t="s">
        <v>1020</v>
      </c>
    </row>
    <row r="4207" spans="1:4" ht="13.05" customHeight="1" x14ac:dyDescent="0.3">
      <c r="A4207" s="2" t="s">
        <v>623</v>
      </c>
      <c r="B4207" s="2" t="s">
        <v>1014</v>
      </c>
      <c r="C4207" s="5" t="s">
        <v>1021</v>
      </c>
      <c r="D4207" s="2" t="s">
        <v>6088</v>
      </c>
    </row>
    <row r="4208" spans="1:4" ht="13.05" customHeight="1" x14ac:dyDescent="0.3">
      <c r="A4208" s="2" t="s">
        <v>623</v>
      </c>
      <c r="B4208" s="2" t="s">
        <v>1014</v>
      </c>
      <c r="C4208" s="5" t="s">
        <v>1023</v>
      </c>
      <c r="D4208" s="2" t="s">
        <v>6089</v>
      </c>
    </row>
    <row r="4209" spans="1:4" ht="13.05" customHeight="1" x14ac:dyDescent="0.3">
      <c r="A4209" s="2" t="s">
        <v>623</v>
      </c>
      <c r="B4209" s="2" t="s">
        <v>1014</v>
      </c>
      <c r="C4209" s="5" t="s">
        <v>1025</v>
      </c>
      <c r="D4209" s="2" t="s">
        <v>6090</v>
      </c>
    </row>
    <row r="4210" spans="1:4" ht="13.05" customHeight="1" x14ac:dyDescent="0.3">
      <c r="A4210" s="2" t="s">
        <v>623</v>
      </c>
      <c r="B4210" s="2" t="s">
        <v>1014</v>
      </c>
      <c r="C4210" s="5" t="s">
        <v>1027</v>
      </c>
      <c r="D4210" s="2" t="s">
        <v>6091</v>
      </c>
    </row>
    <row r="4211" spans="1:4" ht="13.05" customHeight="1" x14ac:dyDescent="0.3">
      <c r="A4211" s="2" t="s">
        <v>623</v>
      </c>
      <c r="B4211" s="2" t="s">
        <v>1014</v>
      </c>
      <c r="C4211" s="5" t="s">
        <v>1029</v>
      </c>
      <c r="D4211" s="2" t="s">
        <v>6092</v>
      </c>
    </row>
    <row r="4212" spans="1:4" ht="13.05" customHeight="1" x14ac:dyDescent="0.3">
      <c r="A4212" s="2" t="s">
        <v>623</v>
      </c>
      <c r="B4212" s="2" t="s">
        <v>1014</v>
      </c>
      <c r="C4212" s="5" t="s">
        <v>1031</v>
      </c>
      <c r="D4212" s="2" t="s">
        <v>6093</v>
      </c>
    </row>
    <row r="4213" spans="1:4" ht="13.05" customHeight="1" x14ac:dyDescent="0.3">
      <c r="A4213" s="2" t="s">
        <v>623</v>
      </c>
      <c r="B4213" s="2" t="s">
        <v>1014</v>
      </c>
      <c r="C4213" s="5" t="s">
        <v>1040</v>
      </c>
      <c r="D4213" s="2" t="s">
        <v>6094</v>
      </c>
    </row>
    <row r="4214" spans="1:4" ht="13.05" customHeight="1" x14ac:dyDescent="0.3">
      <c r="A4214" s="2" t="s">
        <v>623</v>
      </c>
      <c r="B4214" s="2" t="s">
        <v>1014</v>
      </c>
      <c r="C4214" s="5" t="s">
        <v>1042</v>
      </c>
      <c r="D4214" s="2" t="s">
        <v>6095</v>
      </c>
    </row>
    <row r="4215" spans="1:4" ht="13.05" customHeight="1" x14ac:dyDescent="0.3">
      <c r="A4215" s="2" t="s">
        <v>623</v>
      </c>
      <c r="B4215" s="2" t="s">
        <v>1014</v>
      </c>
      <c r="C4215" s="5" t="s">
        <v>1061</v>
      </c>
      <c r="D4215" s="2" t="s">
        <v>6096</v>
      </c>
    </row>
    <row r="4216" spans="1:4" ht="13.05" customHeight="1" x14ac:dyDescent="0.3">
      <c r="A4216" s="2" t="s">
        <v>623</v>
      </c>
      <c r="B4216" s="2" t="s">
        <v>1014</v>
      </c>
      <c r="C4216" s="5" t="s">
        <v>1063</v>
      </c>
      <c r="D4216" s="2" t="s">
        <v>6097</v>
      </c>
    </row>
    <row r="4217" spans="1:4" ht="13.05" customHeight="1" x14ac:dyDescent="0.3">
      <c r="A4217" s="2" t="s">
        <v>623</v>
      </c>
      <c r="B4217" s="2" t="s">
        <v>1014</v>
      </c>
      <c r="C4217" s="5" t="s">
        <v>1065</v>
      </c>
      <c r="D4217" s="2" t="s">
        <v>6098</v>
      </c>
    </row>
    <row r="4218" spans="1:4" ht="13.05" customHeight="1" x14ac:dyDescent="0.3">
      <c r="A4218" s="2" t="s">
        <v>623</v>
      </c>
      <c r="B4218" s="2" t="s">
        <v>1014</v>
      </c>
      <c r="C4218" s="5" t="s">
        <v>1052</v>
      </c>
      <c r="D4218" s="2" t="s">
        <v>1083</v>
      </c>
    </row>
    <row r="4219" spans="1:4" ht="13.05" customHeight="1" x14ac:dyDescent="0.3">
      <c r="A4219" s="2" t="s">
        <v>626</v>
      </c>
      <c r="B4219" s="2" t="s">
        <v>1014</v>
      </c>
      <c r="C4219" s="5" t="s">
        <v>1019</v>
      </c>
      <c r="D4219" s="2" t="s">
        <v>1020</v>
      </c>
    </row>
    <row r="4220" spans="1:4" ht="13.05" customHeight="1" x14ac:dyDescent="0.3">
      <c r="A4220" s="2" t="s">
        <v>628</v>
      </c>
      <c r="B4220" s="2" t="s">
        <v>1033</v>
      </c>
      <c r="C4220" s="5" t="s">
        <v>1219</v>
      </c>
      <c r="D4220" s="2" t="s">
        <v>6099</v>
      </c>
    </row>
    <row r="4221" spans="1:4" ht="13.05" customHeight="1" x14ac:dyDescent="0.3">
      <c r="A4221" s="2" t="s">
        <v>628</v>
      </c>
      <c r="B4221" s="2" t="s">
        <v>1033</v>
      </c>
      <c r="C4221" s="5" t="s">
        <v>1021</v>
      </c>
      <c r="D4221" s="2" t="s">
        <v>6100</v>
      </c>
    </row>
    <row r="4222" spans="1:4" ht="13.05" customHeight="1" x14ac:dyDescent="0.3">
      <c r="A4222" s="2" t="s">
        <v>628</v>
      </c>
      <c r="B4222" s="2" t="s">
        <v>1033</v>
      </c>
      <c r="C4222" s="5" t="s">
        <v>1023</v>
      </c>
      <c r="D4222" s="2" t="s">
        <v>6101</v>
      </c>
    </row>
    <row r="4223" spans="1:4" ht="13.05" customHeight="1" x14ac:dyDescent="0.3">
      <c r="A4223" s="2" t="s">
        <v>628</v>
      </c>
      <c r="B4223" s="2" t="s">
        <v>1033</v>
      </c>
      <c r="C4223" s="5" t="s">
        <v>1025</v>
      </c>
      <c r="D4223" s="2" t="s">
        <v>6102</v>
      </c>
    </row>
    <row r="4224" spans="1:4" ht="13.05" customHeight="1" x14ac:dyDescent="0.3">
      <c r="A4224" s="2" t="s">
        <v>628</v>
      </c>
      <c r="B4224" s="2" t="s">
        <v>1033</v>
      </c>
      <c r="C4224" s="5" t="s">
        <v>1027</v>
      </c>
      <c r="D4224" s="2" t="s">
        <v>6103</v>
      </c>
    </row>
    <row r="4225" spans="1:4" ht="13.05" customHeight="1" x14ac:dyDescent="0.3">
      <c r="A4225" s="2" t="s">
        <v>628</v>
      </c>
      <c r="B4225" s="2" t="s">
        <v>1033</v>
      </c>
      <c r="C4225" s="5" t="s">
        <v>1029</v>
      </c>
      <c r="D4225" s="2" t="s">
        <v>319</v>
      </c>
    </row>
    <row r="4226" spans="1:4" ht="13.05" customHeight="1" x14ac:dyDescent="0.3">
      <c r="A4226" s="2" t="s">
        <v>628</v>
      </c>
      <c r="B4226" s="2" t="s">
        <v>1033</v>
      </c>
      <c r="C4226" s="5" t="s">
        <v>1031</v>
      </c>
      <c r="D4226" s="2" t="s">
        <v>6104</v>
      </c>
    </row>
    <row r="4227" spans="1:4" ht="13.05" customHeight="1" x14ac:dyDescent="0.3">
      <c r="A4227" s="2" t="s">
        <v>628</v>
      </c>
      <c r="B4227" s="2" t="s">
        <v>1033</v>
      </c>
      <c r="C4227" s="5" t="s">
        <v>1040</v>
      </c>
      <c r="D4227" s="2" t="s">
        <v>6105</v>
      </c>
    </row>
    <row r="4228" spans="1:4" ht="13.05" customHeight="1" x14ac:dyDescent="0.3">
      <c r="A4228" s="2" t="s">
        <v>628</v>
      </c>
      <c r="B4228" s="2" t="s">
        <v>1033</v>
      </c>
      <c r="C4228" s="5" t="s">
        <v>1042</v>
      </c>
      <c r="D4228" s="2" t="s">
        <v>6106</v>
      </c>
    </row>
    <row r="4229" spans="1:4" ht="13.05" customHeight="1" x14ac:dyDescent="0.3">
      <c r="A4229" s="2" t="s">
        <v>628</v>
      </c>
      <c r="B4229" s="2" t="s">
        <v>1033</v>
      </c>
      <c r="C4229" s="5" t="s">
        <v>1061</v>
      </c>
      <c r="D4229" s="2" t="s">
        <v>6107</v>
      </c>
    </row>
    <row r="4230" spans="1:4" ht="13.05" customHeight="1" x14ac:dyDescent="0.3">
      <c r="A4230" s="2" t="s">
        <v>628</v>
      </c>
      <c r="B4230" s="2" t="s">
        <v>1033</v>
      </c>
      <c r="C4230" s="5" t="s">
        <v>1063</v>
      </c>
      <c r="D4230" s="2" t="s">
        <v>6108</v>
      </c>
    </row>
    <row r="4231" spans="1:4" ht="13.05" customHeight="1" x14ac:dyDescent="0.3">
      <c r="A4231" s="2" t="s">
        <v>628</v>
      </c>
      <c r="B4231" s="2" t="s">
        <v>1033</v>
      </c>
      <c r="C4231" s="5" t="s">
        <v>1065</v>
      </c>
      <c r="D4231" s="2" t="s">
        <v>6109</v>
      </c>
    </row>
    <row r="4232" spans="1:4" ht="13.05" customHeight="1" x14ac:dyDescent="0.3">
      <c r="A4232" s="2" t="s">
        <v>628</v>
      </c>
      <c r="B4232" s="2" t="s">
        <v>1033</v>
      </c>
      <c r="C4232" s="5" t="s">
        <v>1067</v>
      </c>
      <c r="D4232" s="2" t="s">
        <v>6110</v>
      </c>
    </row>
    <row r="4233" spans="1:4" ht="13.05" customHeight="1" x14ac:dyDescent="0.3">
      <c r="A4233" s="2" t="s">
        <v>628</v>
      </c>
      <c r="B4233" s="2" t="s">
        <v>1033</v>
      </c>
      <c r="C4233" s="5" t="s">
        <v>1069</v>
      </c>
      <c r="D4233" s="2" t="s">
        <v>6111</v>
      </c>
    </row>
    <row r="4234" spans="1:4" ht="13.05" customHeight="1" x14ac:dyDescent="0.3">
      <c r="A4234" s="2" t="s">
        <v>630</v>
      </c>
      <c r="B4234" s="2" t="s">
        <v>1033</v>
      </c>
      <c r="C4234" s="5" t="s">
        <v>1021</v>
      </c>
      <c r="D4234" s="2" t="s">
        <v>6112</v>
      </c>
    </row>
    <row r="4235" spans="1:4" ht="13.05" customHeight="1" x14ac:dyDescent="0.3">
      <c r="A4235" s="2" t="s">
        <v>630</v>
      </c>
      <c r="B4235" s="2" t="s">
        <v>1033</v>
      </c>
      <c r="C4235" s="5" t="s">
        <v>1023</v>
      </c>
      <c r="D4235" s="2" t="s">
        <v>6113</v>
      </c>
    </row>
    <row r="4236" spans="1:4" ht="13.05" customHeight="1" x14ac:dyDescent="0.3">
      <c r="A4236" s="2" t="s">
        <v>630</v>
      </c>
      <c r="B4236" s="2" t="s">
        <v>1033</v>
      </c>
      <c r="C4236" s="5" t="s">
        <v>1025</v>
      </c>
      <c r="D4236" s="2" t="s">
        <v>6114</v>
      </c>
    </row>
    <row r="4237" spans="1:4" ht="13.05" customHeight="1" x14ac:dyDescent="0.3">
      <c r="A4237" s="2" t="s">
        <v>630</v>
      </c>
      <c r="B4237" s="2" t="s">
        <v>1033</v>
      </c>
      <c r="C4237" s="5" t="s">
        <v>1027</v>
      </c>
      <c r="D4237" s="2" t="s">
        <v>6115</v>
      </c>
    </row>
    <row r="4238" spans="1:4" ht="13.05" customHeight="1" x14ac:dyDescent="0.3">
      <c r="A4238" s="2" t="s">
        <v>632</v>
      </c>
      <c r="B4238" s="2" t="s">
        <v>1014</v>
      </c>
      <c r="C4238" s="5" t="s">
        <v>1044</v>
      </c>
      <c r="D4238" s="2" t="s">
        <v>1045</v>
      </c>
    </row>
    <row r="4239" spans="1:4" ht="13.05" customHeight="1" x14ac:dyDescent="0.3">
      <c r="A4239" s="2" t="s">
        <v>632</v>
      </c>
      <c r="B4239" s="2" t="s">
        <v>1014</v>
      </c>
      <c r="C4239" s="5" t="s">
        <v>1015</v>
      </c>
      <c r="D4239" s="2" t="s">
        <v>1016</v>
      </c>
    </row>
    <row r="4240" spans="1:4" ht="13.05" customHeight="1" x14ac:dyDescent="0.3">
      <c r="A4240" s="2" t="s">
        <v>632</v>
      </c>
      <c r="B4240" s="2" t="s">
        <v>1014</v>
      </c>
      <c r="C4240" s="5" t="s">
        <v>1017</v>
      </c>
      <c r="D4240" s="2" t="s">
        <v>1018</v>
      </c>
    </row>
    <row r="4241" spans="1:4" ht="13.05" customHeight="1" x14ac:dyDescent="0.3">
      <c r="A4241" s="2" t="s">
        <v>632</v>
      </c>
      <c r="B4241" s="2" t="s">
        <v>1014</v>
      </c>
      <c r="C4241" s="5" t="s">
        <v>1019</v>
      </c>
      <c r="D4241" s="2" t="s">
        <v>1020</v>
      </c>
    </row>
    <row r="4242" spans="1:4" ht="13.05" customHeight="1" x14ac:dyDescent="0.3">
      <c r="A4242" s="2" t="s">
        <v>632</v>
      </c>
      <c r="B4242" s="2" t="s">
        <v>1014</v>
      </c>
      <c r="C4242" s="5" t="s">
        <v>1021</v>
      </c>
      <c r="D4242" s="2" t="s">
        <v>890</v>
      </c>
    </row>
    <row r="4243" spans="1:4" ht="13.05" customHeight="1" x14ac:dyDescent="0.3">
      <c r="A4243" s="2" t="s">
        <v>632</v>
      </c>
      <c r="B4243" s="2" t="s">
        <v>1014</v>
      </c>
      <c r="C4243" s="5" t="s">
        <v>1023</v>
      </c>
      <c r="D4243" s="2" t="s">
        <v>1049</v>
      </c>
    </row>
    <row r="4244" spans="1:4" ht="13.05" customHeight="1" x14ac:dyDescent="0.3">
      <c r="A4244" s="2" t="s">
        <v>632</v>
      </c>
      <c r="B4244" s="2" t="s">
        <v>1014</v>
      </c>
      <c r="C4244" s="5" t="s">
        <v>1025</v>
      </c>
      <c r="D4244" s="2" t="s">
        <v>6116</v>
      </c>
    </row>
    <row r="4245" spans="1:4" ht="13.05" customHeight="1" x14ac:dyDescent="0.3">
      <c r="A4245" s="2" t="s">
        <v>632</v>
      </c>
      <c r="B4245" s="2" t="s">
        <v>1014</v>
      </c>
      <c r="C4245" s="5" t="s">
        <v>1027</v>
      </c>
      <c r="D4245" s="2" t="s">
        <v>6117</v>
      </c>
    </row>
    <row r="4246" spans="1:4" ht="13.05" customHeight="1" x14ac:dyDescent="0.3">
      <c r="A4246" s="2" t="s">
        <v>632</v>
      </c>
      <c r="B4246" s="2" t="s">
        <v>1014</v>
      </c>
      <c r="C4246" s="5" t="s">
        <v>1029</v>
      </c>
      <c r="D4246" s="2" t="s">
        <v>4570</v>
      </c>
    </row>
    <row r="4247" spans="1:4" ht="13.05" customHeight="1" x14ac:dyDescent="0.3">
      <c r="A4247" s="2" t="s">
        <v>632</v>
      </c>
      <c r="B4247" s="2" t="s">
        <v>1014</v>
      </c>
      <c r="C4247" s="5" t="s">
        <v>1031</v>
      </c>
      <c r="D4247" s="2" t="s">
        <v>6118</v>
      </c>
    </row>
    <row r="4248" spans="1:4" ht="13.05" customHeight="1" x14ac:dyDescent="0.3">
      <c r="A4248" s="2" t="s">
        <v>632</v>
      </c>
      <c r="B4248" s="2" t="s">
        <v>1014</v>
      </c>
      <c r="C4248" s="5" t="s">
        <v>1040</v>
      </c>
      <c r="D4248" s="2" t="s">
        <v>6119</v>
      </c>
    </row>
    <row r="4249" spans="1:4" ht="13.05" customHeight="1" x14ac:dyDescent="0.3">
      <c r="A4249" s="2" t="s">
        <v>632</v>
      </c>
      <c r="B4249" s="2" t="s">
        <v>1014</v>
      </c>
      <c r="C4249" s="5" t="s">
        <v>1042</v>
      </c>
      <c r="D4249" s="2" t="s">
        <v>6120</v>
      </c>
    </row>
    <row r="4250" spans="1:4" ht="13.05" customHeight="1" x14ac:dyDescent="0.3">
      <c r="A4250" s="2" t="s">
        <v>632</v>
      </c>
      <c r="B4250" s="2" t="s">
        <v>1014</v>
      </c>
      <c r="C4250" s="5" t="s">
        <v>1061</v>
      </c>
      <c r="D4250" s="2" t="s">
        <v>6121</v>
      </c>
    </row>
    <row r="4251" spans="1:4" ht="13.05" customHeight="1" x14ac:dyDescent="0.3">
      <c r="A4251" s="2" t="s">
        <v>632</v>
      </c>
      <c r="B4251" s="2" t="s">
        <v>1014</v>
      </c>
      <c r="C4251" s="5" t="s">
        <v>1063</v>
      </c>
      <c r="D4251" s="2" t="s">
        <v>6122</v>
      </c>
    </row>
    <row r="4252" spans="1:4" ht="13.05" customHeight="1" x14ac:dyDescent="0.3">
      <c r="A4252" s="2" t="s">
        <v>632</v>
      </c>
      <c r="B4252" s="2" t="s">
        <v>1014</v>
      </c>
      <c r="C4252" s="5" t="s">
        <v>1065</v>
      </c>
      <c r="D4252" s="2" t="s">
        <v>6123</v>
      </c>
    </row>
    <row r="4253" spans="1:4" ht="13.05" customHeight="1" x14ac:dyDescent="0.3">
      <c r="A4253" s="2" t="s">
        <v>632</v>
      </c>
      <c r="B4253" s="2" t="s">
        <v>1014</v>
      </c>
      <c r="C4253" s="5" t="s">
        <v>1067</v>
      </c>
      <c r="D4253" s="2" t="s">
        <v>6124</v>
      </c>
    </row>
    <row r="4254" spans="1:4" ht="13.05" customHeight="1" x14ac:dyDescent="0.3">
      <c r="A4254" s="2" t="s">
        <v>632</v>
      </c>
      <c r="B4254" s="2" t="s">
        <v>1014</v>
      </c>
      <c r="C4254" s="5" t="s">
        <v>1069</v>
      </c>
      <c r="D4254" s="2" t="s">
        <v>6125</v>
      </c>
    </row>
    <row r="4255" spans="1:4" ht="13.05" customHeight="1" x14ac:dyDescent="0.3">
      <c r="A4255" s="2" t="s">
        <v>632</v>
      </c>
      <c r="B4255" s="2" t="s">
        <v>1014</v>
      </c>
      <c r="C4255" s="5" t="s">
        <v>1071</v>
      </c>
      <c r="D4255" s="2" t="s">
        <v>6126</v>
      </c>
    </row>
    <row r="4256" spans="1:4" ht="13.05" customHeight="1" x14ac:dyDescent="0.3">
      <c r="A4256" s="2" t="s">
        <v>632</v>
      </c>
      <c r="B4256" s="2" t="s">
        <v>1014</v>
      </c>
      <c r="C4256" s="5" t="s">
        <v>1073</v>
      </c>
      <c r="D4256" s="2" t="s">
        <v>6127</v>
      </c>
    </row>
    <row r="4257" spans="1:4" ht="13.05" customHeight="1" x14ac:dyDescent="0.3">
      <c r="A4257" s="2" t="s">
        <v>632</v>
      </c>
      <c r="B4257" s="2" t="s">
        <v>1014</v>
      </c>
      <c r="C4257" s="5" t="s">
        <v>1075</v>
      </c>
      <c r="D4257" s="2" t="s">
        <v>6128</v>
      </c>
    </row>
    <row r="4258" spans="1:4" ht="13.05" customHeight="1" x14ac:dyDescent="0.3">
      <c r="A4258" s="2" t="s">
        <v>632</v>
      </c>
      <c r="B4258" s="2" t="s">
        <v>1014</v>
      </c>
      <c r="C4258" s="5" t="s">
        <v>1077</v>
      </c>
      <c r="D4258" s="2" t="s">
        <v>6129</v>
      </c>
    </row>
    <row r="4259" spans="1:4" ht="13.05" customHeight="1" x14ac:dyDescent="0.3">
      <c r="A4259" s="2" t="s">
        <v>632</v>
      </c>
      <c r="B4259" s="2" t="s">
        <v>1014</v>
      </c>
      <c r="C4259" s="5" t="s">
        <v>1079</v>
      </c>
      <c r="D4259" s="2" t="s">
        <v>6130</v>
      </c>
    </row>
    <row r="4260" spans="1:4" ht="13.05" customHeight="1" x14ac:dyDescent="0.3">
      <c r="A4260" s="2" t="s">
        <v>632</v>
      </c>
      <c r="B4260" s="2" t="s">
        <v>1014</v>
      </c>
      <c r="C4260" s="5" t="s">
        <v>1081</v>
      </c>
      <c r="D4260" s="2" t="s">
        <v>6131</v>
      </c>
    </row>
    <row r="4261" spans="1:4" ht="13.05" customHeight="1" x14ac:dyDescent="0.3">
      <c r="A4261" s="2" t="s">
        <v>632</v>
      </c>
      <c r="B4261" s="2" t="s">
        <v>1014</v>
      </c>
      <c r="C4261" s="5" t="s">
        <v>1222</v>
      </c>
      <c r="D4261" s="2" t="s">
        <v>6132</v>
      </c>
    </row>
    <row r="4262" spans="1:4" ht="13.05" customHeight="1" x14ac:dyDescent="0.3">
      <c r="A4262" s="2" t="s">
        <v>632</v>
      </c>
      <c r="B4262" s="2" t="s">
        <v>1014</v>
      </c>
      <c r="C4262" s="5" t="s">
        <v>1052</v>
      </c>
      <c r="D4262" s="2" t="s">
        <v>1053</v>
      </c>
    </row>
    <row r="4263" spans="1:4" ht="13.05" customHeight="1" x14ac:dyDescent="0.3">
      <c r="A4263" s="2" t="s">
        <v>635</v>
      </c>
      <c r="B4263" s="2" t="s">
        <v>1014</v>
      </c>
      <c r="C4263" s="5" t="s">
        <v>1019</v>
      </c>
      <c r="D4263" s="2" t="s">
        <v>1020</v>
      </c>
    </row>
    <row r="4264" spans="1:4" ht="13.05" customHeight="1" x14ac:dyDescent="0.3">
      <c r="A4264" s="2" t="s">
        <v>638</v>
      </c>
      <c r="B4264" s="2" t="s">
        <v>1014</v>
      </c>
      <c r="C4264" s="5" t="s">
        <v>1044</v>
      </c>
      <c r="D4264" s="2" t="s">
        <v>1045</v>
      </c>
    </row>
    <row r="4265" spans="1:4" ht="13.05" customHeight="1" x14ac:dyDescent="0.3">
      <c r="A4265" s="2" t="s">
        <v>638</v>
      </c>
      <c r="B4265" s="2" t="s">
        <v>1014</v>
      </c>
      <c r="C4265" s="5" t="s">
        <v>1015</v>
      </c>
      <c r="D4265" s="2" t="s">
        <v>1016</v>
      </c>
    </row>
    <row r="4266" spans="1:4" ht="13.05" customHeight="1" x14ac:dyDescent="0.3">
      <c r="A4266" s="2" t="s">
        <v>638</v>
      </c>
      <c r="B4266" s="2" t="s">
        <v>1014</v>
      </c>
      <c r="C4266" s="5" t="s">
        <v>1017</v>
      </c>
      <c r="D4266" s="2" t="s">
        <v>1018</v>
      </c>
    </row>
    <row r="4267" spans="1:4" ht="13.05" customHeight="1" x14ac:dyDescent="0.3">
      <c r="A4267" s="2" t="s">
        <v>638</v>
      </c>
      <c r="B4267" s="2" t="s">
        <v>1014</v>
      </c>
      <c r="C4267" s="5" t="s">
        <v>1019</v>
      </c>
      <c r="D4267" s="2" t="s">
        <v>1020</v>
      </c>
    </row>
    <row r="4268" spans="1:4" ht="13.05" customHeight="1" x14ac:dyDescent="0.3">
      <c r="A4268" s="2" t="s">
        <v>638</v>
      </c>
      <c r="B4268" s="2" t="s">
        <v>1014</v>
      </c>
      <c r="C4268" s="5" t="s">
        <v>1021</v>
      </c>
      <c r="D4268" s="2" t="s">
        <v>890</v>
      </c>
    </row>
    <row r="4269" spans="1:4" ht="13.05" customHeight="1" x14ac:dyDescent="0.3">
      <c r="A4269" s="2" t="s">
        <v>638</v>
      </c>
      <c r="B4269" s="2" t="s">
        <v>1014</v>
      </c>
      <c r="C4269" s="5" t="s">
        <v>1023</v>
      </c>
      <c r="D4269" s="2" t="s">
        <v>1049</v>
      </c>
    </row>
    <row r="4270" spans="1:4" ht="13.05" customHeight="1" x14ac:dyDescent="0.3">
      <c r="A4270" s="2" t="s">
        <v>638</v>
      </c>
      <c r="B4270" s="2" t="s">
        <v>1014</v>
      </c>
      <c r="C4270" s="5" t="s">
        <v>1025</v>
      </c>
      <c r="D4270" s="2" t="s">
        <v>6116</v>
      </c>
    </row>
    <row r="4271" spans="1:4" ht="13.05" customHeight="1" x14ac:dyDescent="0.3">
      <c r="A4271" s="2" t="s">
        <v>638</v>
      </c>
      <c r="B4271" s="2" t="s">
        <v>1014</v>
      </c>
      <c r="C4271" s="5" t="s">
        <v>1027</v>
      </c>
      <c r="D4271" s="2" t="s">
        <v>6117</v>
      </c>
    </row>
    <row r="4272" spans="1:4" ht="13.05" customHeight="1" x14ac:dyDescent="0.3">
      <c r="A4272" s="2" t="s">
        <v>638</v>
      </c>
      <c r="B4272" s="2" t="s">
        <v>1014</v>
      </c>
      <c r="C4272" s="5" t="s">
        <v>1029</v>
      </c>
      <c r="D4272" s="2" t="s">
        <v>4570</v>
      </c>
    </row>
    <row r="4273" spans="1:4" ht="13.05" customHeight="1" x14ac:dyDescent="0.3">
      <c r="A4273" s="2" t="s">
        <v>638</v>
      </c>
      <c r="B4273" s="2" t="s">
        <v>1014</v>
      </c>
      <c r="C4273" s="5" t="s">
        <v>1031</v>
      </c>
      <c r="D4273" s="2" t="s">
        <v>6118</v>
      </c>
    </row>
    <row r="4274" spans="1:4" ht="13.05" customHeight="1" x14ac:dyDescent="0.3">
      <c r="A4274" s="2" t="s">
        <v>638</v>
      </c>
      <c r="B4274" s="2" t="s">
        <v>1014</v>
      </c>
      <c r="C4274" s="5" t="s">
        <v>1040</v>
      </c>
      <c r="D4274" s="2" t="s">
        <v>6119</v>
      </c>
    </row>
    <row r="4275" spans="1:4" ht="13.05" customHeight="1" x14ac:dyDescent="0.3">
      <c r="A4275" s="2" t="s">
        <v>638</v>
      </c>
      <c r="B4275" s="2" t="s">
        <v>1014</v>
      </c>
      <c r="C4275" s="5" t="s">
        <v>1042</v>
      </c>
      <c r="D4275" s="2" t="s">
        <v>6120</v>
      </c>
    </row>
    <row r="4276" spans="1:4" ht="13.05" customHeight="1" x14ac:dyDescent="0.3">
      <c r="A4276" s="2" t="s">
        <v>638</v>
      </c>
      <c r="B4276" s="2" t="s">
        <v>1014</v>
      </c>
      <c r="C4276" s="5" t="s">
        <v>1061</v>
      </c>
      <c r="D4276" s="2" t="s">
        <v>6121</v>
      </c>
    </row>
    <row r="4277" spans="1:4" ht="13.05" customHeight="1" x14ac:dyDescent="0.3">
      <c r="A4277" s="2" t="s">
        <v>638</v>
      </c>
      <c r="B4277" s="2" t="s">
        <v>1014</v>
      </c>
      <c r="C4277" s="5" t="s">
        <v>1063</v>
      </c>
      <c r="D4277" s="2" t="s">
        <v>6122</v>
      </c>
    </row>
    <row r="4278" spans="1:4" ht="13.05" customHeight="1" x14ac:dyDescent="0.3">
      <c r="A4278" s="2" t="s">
        <v>638</v>
      </c>
      <c r="B4278" s="2" t="s">
        <v>1014</v>
      </c>
      <c r="C4278" s="5" t="s">
        <v>1065</v>
      </c>
      <c r="D4278" s="2" t="s">
        <v>6123</v>
      </c>
    </row>
    <row r="4279" spans="1:4" ht="13.05" customHeight="1" x14ac:dyDescent="0.3">
      <c r="A4279" s="2" t="s">
        <v>638</v>
      </c>
      <c r="B4279" s="2" t="s">
        <v>1014</v>
      </c>
      <c r="C4279" s="5" t="s">
        <v>1067</v>
      </c>
      <c r="D4279" s="2" t="s">
        <v>6124</v>
      </c>
    </row>
    <row r="4280" spans="1:4" ht="13.05" customHeight="1" x14ac:dyDescent="0.3">
      <c r="A4280" s="2" t="s">
        <v>638</v>
      </c>
      <c r="B4280" s="2" t="s">
        <v>1014</v>
      </c>
      <c r="C4280" s="5" t="s">
        <v>1069</v>
      </c>
      <c r="D4280" s="2" t="s">
        <v>6125</v>
      </c>
    </row>
    <row r="4281" spans="1:4" ht="13.05" customHeight="1" x14ac:dyDescent="0.3">
      <c r="A4281" s="2" t="s">
        <v>638</v>
      </c>
      <c r="B4281" s="2" t="s">
        <v>1014</v>
      </c>
      <c r="C4281" s="5" t="s">
        <v>1071</v>
      </c>
      <c r="D4281" s="2" t="s">
        <v>6126</v>
      </c>
    </row>
    <row r="4282" spans="1:4" ht="13.05" customHeight="1" x14ac:dyDescent="0.3">
      <c r="A4282" s="2" t="s">
        <v>638</v>
      </c>
      <c r="B4282" s="2" t="s">
        <v>1014</v>
      </c>
      <c r="C4282" s="5" t="s">
        <v>1073</v>
      </c>
      <c r="D4282" s="2" t="s">
        <v>6127</v>
      </c>
    </row>
    <row r="4283" spans="1:4" ht="13.05" customHeight="1" x14ac:dyDescent="0.3">
      <c r="A4283" s="2" t="s">
        <v>638</v>
      </c>
      <c r="B4283" s="2" t="s">
        <v>1014</v>
      </c>
      <c r="C4283" s="5" t="s">
        <v>1075</v>
      </c>
      <c r="D4283" s="2" t="s">
        <v>6128</v>
      </c>
    </row>
    <row r="4284" spans="1:4" ht="13.05" customHeight="1" x14ac:dyDescent="0.3">
      <c r="A4284" s="2" t="s">
        <v>638</v>
      </c>
      <c r="B4284" s="2" t="s">
        <v>1014</v>
      </c>
      <c r="C4284" s="5" t="s">
        <v>1077</v>
      </c>
      <c r="D4284" s="2" t="s">
        <v>6129</v>
      </c>
    </row>
    <row r="4285" spans="1:4" ht="13.05" customHeight="1" x14ac:dyDescent="0.3">
      <c r="A4285" s="2" t="s">
        <v>638</v>
      </c>
      <c r="B4285" s="2" t="s">
        <v>1014</v>
      </c>
      <c r="C4285" s="5" t="s">
        <v>1079</v>
      </c>
      <c r="D4285" s="2" t="s">
        <v>6130</v>
      </c>
    </row>
    <row r="4286" spans="1:4" ht="13.05" customHeight="1" x14ac:dyDescent="0.3">
      <c r="A4286" s="2" t="s">
        <v>638</v>
      </c>
      <c r="B4286" s="2" t="s">
        <v>1014</v>
      </c>
      <c r="C4286" s="5" t="s">
        <v>1081</v>
      </c>
      <c r="D4286" s="2" t="s">
        <v>6131</v>
      </c>
    </row>
    <row r="4287" spans="1:4" ht="13.05" customHeight="1" x14ac:dyDescent="0.3">
      <c r="A4287" s="2" t="s">
        <v>638</v>
      </c>
      <c r="B4287" s="2" t="s">
        <v>1014</v>
      </c>
      <c r="C4287" s="5" t="s">
        <v>1222</v>
      </c>
      <c r="D4287" s="2" t="s">
        <v>6132</v>
      </c>
    </row>
    <row r="4288" spans="1:4" ht="13.05" customHeight="1" x14ac:dyDescent="0.3">
      <c r="A4288" s="2" t="s">
        <v>638</v>
      </c>
      <c r="B4288" s="2" t="s">
        <v>1014</v>
      </c>
      <c r="C4288" s="5" t="s">
        <v>1052</v>
      </c>
      <c r="D4288" s="2" t="s">
        <v>1053</v>
      </c>
    </row>
    <row r="4289" spans="1:4" ht="13.05" customHeight="1" x14ac:dyDescent="0.3">
      <c r="A4289" s="2" t="s">
        <v>641</v>
      </c>
      <c r="B4289" s="2" t="s">
        <v>1014</v>
      </c>
      <c r="C4289" s="5" t="s">
        <v>1019</v>
      </c>
      <c r="D4289" s="2" t="s">
        <v>1020</v>
      </c>
    </row>
    <row r="4290" spans="1:4" ht="13.05" customHeight="1" x14ac:dyDescent="0.3">
      <c r="A4290" s="2" t="s">
        <v>644</v>
      </c>
      <c r="B4290" s="2" t="s">
        <v>1014</v>
      </c>
      <c r="C4290" s="5" t="s">
        <v>1044</v>
      </c>
      <c r="D4290" s="2" t="s">
        <v>1045</v>
      </c>
    </row>
    <row r="4291" spans="1:4" ht="13.05" customHeight="1" x14ac:dyDescent="0.3">
      <c r="A4291" s="2" t="s">
        <v>644</v>
      </c>
      <c r="B4291" s="2" t="s">
        <v>1014</v>
      </c>
      <c r="C4291" s="5" t="s">
        <v>1015</v>
      </c>
      <c r="D4291" s="2" t="s">
        <v>1016</v>
      </c>
    </row>
    <row r="4292" spans="1:4" ht="13.05" customHeight="1" x14ac:dyDescent="0.3">
      <c r="A4292" s="2" t="s">
        <v>644</v>
      </c>
      <c r="B4292" s="2" t="s">
        <v>1014</v>
      </c>
      <c r="C4292" s="5" t="s">
        <v>1017</v>
      </c>
      <c r="D4292" s="2" t="s">
        <v>1018</v>
      </c>
    </row>
    <row r="4293" spans="1:4" ht="13.05" customHeight="1" x14ac:dyDescent="0.3">
      <c r="A4293" s="2" t="s">
        <v>644</v>
      </c>
      <c r="B4293" s="2" t="s">
        <v>1014</v>
      </c>
      <c r="C4293" s="5" t="s">
        <v>1019</v>
      </c>
      <c r="D4293" s="2" t="s">
        <v>1020</v>
      </c>
    </row>
    <row r="4294" spans="1:4" ht="13.05" customHeight="1" x14ac:dyDescent="0.3">
      <c r="A4294" s="2" t="s">
        <v>644</v>
      </c>
      <c r="B4294" s="2" t="s">
        <v>1014</v>
      </c>
      <c r="C4294" s="5" t="s">
        <v>1021</v>
      </c>
      <c r="D4294" s="2" t="s">
        <v>6133</v>
      </c>
    </row>
    <row r="4295" spans="1:4" ht="13.05" customHeight="1" x14ac:dyDescent="0.3">
      <c r="A4295" s="2" t="s">
        <v>644</v>
      </c>
      <c r="B4295" s="2" t="s">
        <v>1014</v>
      </c>
      <c r="C4295" s="5" t="s">
        <v>1023</v>
      </c>
      <c r="D4295" s="2" t="s">
        <v>6134</v>
      </c>
    </row>
    <row r="4296" spans="1:4" ht="13.05" customHeight="1" x14ac:dyDescent="0.3">
      <c r="A4296" s="2" t="s">
        <v>644</v>
      </c>
      <c r="B4296" s="2" t="s">
        <v>1014</v>
      </c>
      <c r="C4296" s="5" t="s">
        <v>1025</v>
      </c>
      <c r="D4296" s="2" t="s">
        <v>6135</v>
      </c>
    </row>
    <row r="4297" spans="1:4" ht="13.05" customHeight="1" x14ac:dyDescent="0.3">
      <c r="A4297" s="2" t="s">
        <v>647</v>
      </c>
      <c r="B4297" s="2" t="s">
        <v>1033</v>
      </c>
      <c r="C4297" s="5" t="s">
        <v>1019</v>
      </c>
      <c r="D4297" s="2" t="s">
        <v>1020</v>
      </c>
    </row>
    <row r="4298" spans="1:4" ht="13.05" customHeight="1" x14ac:dyDescent="0.3">
      <c r="A4298" s="2" t="s">
        <v>649</v>
      </c>
      <c r="B4298" s="2" t="s">
        <v>1033</v>
      </c>
      <c r="C4298" s="5" t="s">
        <v>1015</v>
      </c>
      <c r="D4298" s="2" t="s">
        <v>1092</v>
      </c>
    </row>
    <row r="4299" spans="1:4" ht="13.05" customHeight="1" x14ac:dyDescent="0.3">
      <c r="A4299" s="2" t="s">
        <v>649</v>
      </c>
      <c r="B4299" s="2" t="s">
        <v>1033</v>
      </c>
      <c r="C4299" s="5" t="s">
        <v>1017</v>
      </c>
      <c r="D4299" s="2" t="s">
        <v>1018</v>
      </c>
    </row>
    <row r="4300" spans="1:4" ht="13.05" customHeight="1" x14ac:dyDescent="0.3">
      <c r="A4300" s="2" t="s">
        <v>649</v>
      </c>
      <c r="B4300" s="2" t="s">
        <v>1033</v>
      </c>
      <c r="C4300" s="5" t="s">
        <v>1019</v>
      </c>
      <c r="D4300" s="2" t="s">
        <v>1020</v>
      </c>
    </row>
    <row r="4301" spans="1:4" ht="13.05" customHeight="1" x14ac:dyDescent="0.3">
      <c r="A4301" s="2" t="s">
        <v>649</v>
      </c>
      <c r="B4301" s="2" t="s">
        <v>1033</v>
      </c>
      <c r="C4301" s="5" t="s">
        <v>1021</v>
      </c>
      <c r="D4301" s="2" t="s">
        <v>1087</v>
      </c>
    </row>
    <row r="4302" spans="1:4" ht="13.05" customHeight="1" x14ac:dyDescent="0.3">
      <c r="A4302" s="2" t="s">
        <v>649</v>
      </c>
      <c r="B4302" s="2" t="s">
        <v>1033</v>
      </c>
      <c r="C4302" s="5" t="s">
        <v>1023</v>
      </c>
      <c r="D4302" s="2" t="s">
        <v>1109</v>
      </c>
    </row>
    <row r="4303" spans="1:4" ht="13.05" customHeight="1" x14ac:dyDescent="0.3">
      <c r="A4303" s="2" t="s">
        <v>649</v>
      </c>
      <c r="B4303" s="2" t="s">
        <v>1033</v>
      </c>
      <c r="C4303" s="5" t="s">
        <v>1025</v>
      </c>
      <c r="D4303" s="2" t="s">
        <v>1089</v>
      </c>
    </row>
    <row r="4304" spans="1:4" ht="13.05" customHeight="1" x14ac:dyDescent="0.3">
      <c r="A4304" s="2" t="s">
        <v>649</v>
      </c>
      <c r="B4304" s="2" t="s">
        <v>1033</v>
      </c>
      <c r="C4304" s="5" t="s">
        <v>1027</v>
      </c>
      <c r="D4304" s="2" t="s">
        <v>1090</v>
      </c>
    </row>
    <row r="4305" spans="1:4" ht="13.05" customHeight="1" x14ac:dyDescent="0.3">
      <c r="A4305" s="2" t="s">
        <v>649</v>
      </c>
      <c r="B4305" s="2" t="s">
        <v>1033</v>
      </c>
      <c r="C4305" s="5" t="s">
        <v>1029</v>
      </c>
      <c r="D4305" s="2" t="s">
        <v>1091</v>
      </c>
    </row>
    <row r="4306" spans="1:4" ht="13.05" customHeight="1" x14ac:dyDescent="0.3">
      <c r="A4306" s="2" t="s">
        <v>652</v>
      </c>
      <c r="B4306" s="2" t="s">
        <v>1033</v>
      </c>
      <c r="C4306" s="5" t="s">
        <v>1021</v>
      </c>
      <c r="D4306" s="2" t="s">
        <v>1106</v>
      </c>
    </row>
    <row r="4307" spans="1:4" ht="13.05" customHeight="1" x14ac:dyDescent="0.3">
      <c r="A4307" s="2" t="s">
        <v>652</v>
      </c>
      <c r="B4307" s="2" t="s">
        <v>1033</v>
      </c>
      <c r="C4307" s="5" t="s">
        <v>1023</v>
      </c>
      <c r="D4307" s="2" t="s">
        <v>1107</v>
      </c>
    </row>
    <row r="4308" spans="1:4" ht="13.05" customHeight="1" x14ac:dyDescent="0.3">
      <c r="A4308" s="2" t="s">
        <v>654</v>
      </c>
      <c r="B4308" s="2" t="s">
        <v>1033</v>
      </c>
      <c r="C4308" s="5" t="s">
        <v>1219</v>
      </c>
      <c r="D4308" s="2" t="s">
        <v>6099</v>
      </c>
    </row>
    <row r="4309" spans="1:4" ht="13.05" customHeight="1" x14ac:dyDescent="0.3">
      <c r="A4309" s="2" t="s">
        <v>654</v>
      </c>
      <c r="B4309" s="2" t="s">
        <v>1033</v>
      </c>
      <c r="C4309" s="5" t="s">
        <v>1021</v>
      </c>
      <c r="D4309" s="2" t="s">
        <v>6100</v>
      </c>
    </row>
    <row r="4310" spans="1:4" ht="13.05" customHeight="1" x14ac:dyDescent="0.3">
      <c r="A4310" s="2" t="s">
        <v>654</v>
      </c>
      <c r="B4310" s="2" t="s">
        <v>1033</v>
      </c>
      <c r="C4310" s="5" t="s">
        <v>1023</v>
      </c>
      <c r="D4310" s="2" t="s">
        <v>6101</v>
      </c>
    </row>
    <row r="4311" spans="1:4" ht="13.05" customHeight="1" x14ac:dyDescent="0.3">
      <c r="A4311" s="2" t="s">
        <v>654</v>
      </c>
      <c r="B4311" s="2" t="s">
        <v>1033</v>
      </c>
      <c r="C4311" s="5" t="s">
        <v>1025</v>
      </c>
      <c r="D4311" s="2" t="s">
        <v>6102</v>
      </c>
    </row>
    <row r="4312" spans="1:4" ht="13.05" customHeight="1" x14ac:dyDescent="0.3">
      <c r="A4312" s="2" t="s">
        <v>654</v>
      </c>
      <c r="B4312" s="2" t="s">
        <v>1033</v>
      </c>
      <c r="C4312" s="5" t="s">
        <v>1027</v>
      </c>
      <c r="D4312" s="2" t="s">
        <v>6103</v>
      </c>
    </row>
    <row r="4313" spans="1:4" ht="13.05" customHeight="1" x14ac:dyDescent="0.3">
      <c r="A4313" s="2" t="s">
        <v>654</v>
      </c>
      <c r="B4313" s="2" t="s">
        <v>1033</v>
      </c>
      <c r="C4313" s="5" t="s">
        <v>1029</v>
      </c>
      <c r="D4313" s="2" t="s">
        <v>319</v>
      </c>
    </row>
    <row r="4314" spans="1:4" ht="13.05" customHeight="1" x14ac:dyDescent="0.3">
      <c r="A4314" s="2" t="s">
        <v>654</v>
      </c>
      <c r="B4314" s="2" t="s">
        <v>1033</v>
      </c>
      <c r="C4314" s="5" t="s">
        <v>1031</v>
      </c>
      <c r="D4314" s="2" t="s">
        <v>6104</v>
      </c>
    </row>
    <row r="4315" spans="1:4" ht="13.05" customHeight="1" x14ac:dyDescent="0.3">
      <c r="A4315" s="2" t="s">
        <v>654</v>
      </c>
      <c r="B4315" s="2" t="s">
        <v>1033</v>
      </c>
      <c r="C4315" s="5" t="s">
        <v>1040</v>
      </c>
      <c r="D4315" s="2" t="s">
        <v>6105</v>
      </c>
    </row>
    <row r="4316" spans="1:4" ht="13.05" customHeight="1" x14ac:dyDescent="0.3">
      <c r="A4316" s="2" t="s">
        <v>654</v>
      </c>
      <c r="B4316" s="2" t="s">
        <v>1033</v>
      </c>
      <c r="C4316" s="5" t="s">
        <v>1042</v>
      </c>
      <c r="D4316" s="2" t="s">
        <v>6106</v>
      </c>
    </row>
    <row r="4317" spans="1:4" ht="13.05" customHeight="1" x14ac:dyDescent="0.3">
      <c r="A4317" s="2" t="s">
        <v>654</v>
      </c>
      <c r="B4317" s="2" t="s">
        <v>1033</v>
      </c>
      <c r="C4317" s="5" t="s">
        <v>1061</v>
      </c>
      <c r="D4317" s="2" t="s">
        <v>6136</v>
      </c>
    </row>
    <row r="4318" spans="1:4" ht="13.05" customHeight="1" x14ac:dyDescent="0.3">
      <c r="A4318" s="2" t="s">
        <v>654</v>
      </c>
      <c r="B4318" s="2" t="s">
        <v>1033</v>
      </c>
      <c r="C4318" s="5" t="s">
        <v>1063</v>
      </c>
      <c r="D4318" s="2" t="s">
        <v>6108</v>
      </c>
    </row>
    <row r="4319" spans="1:4" ht="13.05" customHeight="1" x14ac:dyDescent="0.3">
      <c r="A4319" s="2" t="s">
        <v>654</v>
      </c>
      <c r="B4319" s="2" t="s">
        <v>1033</v>
      </c>
      <c r="C4319" s="5" t="s">
        <v>1065</v>
      </c>
      <c r="D4319" s="2" t="s">
        <v>6109</v>
      </c>
    </row>
    <row r="4320" spans="1:4" ht="13.05" customHeight="1" x14ac:dyDescent="0.3">
      <c r="A4320" s="2" t="s">
        <v>654</v>
      </c>
      <c r="B4320" s="2" t="s">
        <v>1033</v>
      </c>
      <c r="C4320" s="5" t="s">
        <v>1069</v>
      </c>
      <c r="D4320" s="2" t="s">
        <v>6111</v>
      </c>
    </row>
    <row r="4321" spans="1:4" ht="13.05" customHeight="1" x14ac:dyDescent="0.3">
      <c r="A4321" s="2" t="s">
        <v>656</v>
      </c>
      <c r="B4321" s="2" t="s">
        <v>1105</v>
      </c>
      <c r="C4321" s="5" t="s">
        <v>1044</v>
      </c>
      <c r="D4321" s="2" t="s">
        <v>1045</v>
      </c>
    </row>
    <row r="4322" spans="1:4" ht="13.05" customHeight="1" x14ac:dyDescent="0.3">
      <c r="A4322" s="2" t="s">
        <v>658</v>
      </c>
      <c r="B4322" s="2" t="s">
        <v>1105</v>
      </c>
      <c r="C4322" s="5" t="s">
        <v>1044</v>
      </c>
      <c r="D4322" s="2" t="s">
        <v>1045</v>
      </c>
    </row>
    <row r="4323" spans="1:4" ht="13.05" customHeight="1" x14ac:dyDescent="0.3">
      <c r="A4323" s="2" t="s">
        <v>673</v>
      </c>
      <c r="B4323" s="2" t="s">
        <v>1033</v>
      </c>
      <c r="C4323" s="5" t="s">
        <v>1015</v>
      </c>
      <c r="D4323" s="2" t="s">
        <v>1092</v>
      </c>
    </row>
    <row r="4324" spans="1:4" ht="13.05" customHeight="1" x14ac:dyDescent="0.3">
      <c r="A4324" s="2" t="s">
        <v>673</v>
      </c>
      <c r="B4324" s="2" t="s">
        <v>1033</v>
      </c>
      <c r="C4324" s="5" t="s">
        <v>1017</v>
      </c>
      <c r="D4324" s="2" t="s">
        <v>1018</v>
      </c>
    </row>
    <row r="4325" spans="1:4" ht="13.05" customHeight="1" x14ac:dyDescent="0.3">
      <c r="A4325" s="2" t="s">
        <v>673</v>
      </c>
      <c r="B4325" s="2" t="s">
        <v>1033</v>
      </c>
      <c r="C4325" s="5" t="s">
        <v>1019</v>
      </c>
      <c r="D4325" s="2" t="s">
        <v>1020</v>
      </c>
    </row>
    <row r="4326" spans="1:4" ht="13.05" customHeight="1" x14ac:dyDescent="0.3">
      <c r="A4326" s="2" t="s">
        <v>673</v>
      </c>
      <c r="B4326" s="2" t="s">
        <v>1033</v>
      </c>
      <c r="C4326" s="5" t="s">
        <v>1021</v>
      </c>
      <c r="D4326" s="2" t="s">
        <v>1087</v>
      </c>
    </row>
    <row r="4327" spans="1:4" ht="13.05" customHeight="1" x14ac:dyDescent="0.3">
      <c r="A4327" s="2" t="s">
        <v>673</v>
      </c>
      <c r="B4327" s="2" t="s">
        <v>1033</v>
      </c>
      <c r="C4327" s="5" t="s">
        <v>1023</v>
      </c>
      <c r="D4327" s="2" t="s">
        <v>1109</v>
      </c>
    </row>
    <row r="4328" spans="1:4" ht="13.05" customHeight="1" x14ac:dyDescent="0.3">
      <c r="A4328" s="2" t="s">
        <v>673</v>
      </c>
      <c r="B4328" s="2" t="s">
        <v>1033</v>
      </c>
      <c r="C4328" s="5" t="s">
        <v>1025</v>
      </c>
      <c r="D4328" s="2" t="s">
        <v>1089</v>
      </c>
    </row>
    <row r="4329" spans="1:4" ht="13.05" customHeight="1" x14ac:dyDescent="0.3">
      <c r="A4329" s="2" t="s">
        <v>673</v>
      </c>
      <c r="B4329" s="2" t="s">
        <v>1033</v>
      </c>
      <c r="C4329" s="5" t="s">
        <v>1027</v>
      </c>
      <c r="D4329" s="2" t="s">
        <v>1090</v>
      </c>
    </row>
    <row r="4330" spans="1:4" ht="13.05" customHeight="1" x14ac:dyDescent="0.3">
      <c r="A4330" s="2" t="s">
        <v>673</v>
      </c>
      <c r="B4330" s="2" t="s">
        <v>1033</v>
      </c>
      <c r="C4330" s="5" t="s">
        <v>1029</v>
      </c>
      <c r="D4330" s="2" t="s">
        <v>6051</v>
      </c>
    </row>
    <row r="4331" spans="1:4" ht="13.05" customHeight="1" x14ac:dyDescent="0.3">
      <c r="A4331" s="2" t="s">
        <v>676</v>
      </c>
      <c r="B4331" s="2" t="s">
        <v>1033</v>
      </c>
      <c r="C4331" s="5" t="s">
        <v>1015</v>
      </c>
      <c r="D4331" s="2" t="s">
        <v>1092</v>
      </c>
    </row>
    <row r="4332" spans="1:4" ht="13.05" customHeight="1" x14ac:dyDescent="0.3">
      <c r="A4332" s="2" t="s">
        <v>676</v>
      </c>
      <c r="B4332" s="2" t="s">
        <v>1033</v>
      </c>
      <c r="C4332" s="5" t="s">
        <v>1017</v>
      </c>
      <c r="D4332" s="2" t="s">
        <v>1018</v>
      </c>
    </row>
    <row r="4333" spans="1:4" ht="13.05" customHeight="1" x14ac:dyDescent="0.3">
      <c r="A4333" s="2" t="s">
        <v>676</v>
      </c>
      <c r="B4333" s="2" t="s">
        <v>1033</v>
      </c>
      <c r="C4333" s="5" t="s">
        <v>1019</v>
      </c>
      <c r="D4333" s="2" t="s">
        <v>1020</v>
      </c>
    </row>
    <row r="4334" spans="1:4" ht="13.05" customHeight="1" x14ac:dyDescent="0.3">
      <c r="A4334" s="2" t="s">
        <v>676</v>
      </c>
      <c r="B4334" s="2" t="s">
        <v>1033</v>
      </c>
      <c r="C4334" s="5" t="s">
        <v>1021</v>
      </c>
      <c r="D4334" s="2" t="s">
        <v>1087</v>
      </c>
    </row>
    <row r="4335" spans="1:4" ht="13.05" customHeight="1" x14ac:dyDescent="0.3">
      <c r="A4335" s="2" t="s">
        <v>676</v>
      </c>
      <c r="B4335" s="2" t="s">
        <v>1033</v>
      </c>
      <c r="C4335" s="5" t="s">
        <v>1023</v>
      </c>
      <c r="D4335" s="2" t="s">
        <v>1088</v>
      </c>
    </row>
    <row r="4336" spans="1:4" ht="13.05" customHeight="1" x14ac:dyDescent="0.3">
      <c r="A4336" s="2" t="s">
        <v>676</v>
      </c>
      <c r="B4336" s="2" t="s">
        <v>1033</v>
      </c>
      <c r="C4336" s="5" t="s">
        <v>1025</v>
      </c>
      <c r="D4336" s="2" t="s">
        <v>1089</v>
      </c>
    </row>
    <row r="4337" spans="1:4" ht="13.05" customHeight="1" x14ac:dyDescent="0.3">
      <c r="A4337" s="2" t="s">
        <v>676</v>
      </c>
      <c r="B4337" s="2" t="s">
        <v>1033</v>
      </c>
      <c r="C4337" s="5" t="s">
        <v>1027</v>
      </c>
      <c r="D4337" s="2" t="s">
        <v>1090</v>
      </c>
    </row>
    <row r="4338" spans="1:4" ht="13.05" customHeight="1" x14ac:dyDescent="0.3">
      <c r="A4338" s="2" t="s">
        <v>676</v>
      </c>
      <c r="B4338" s="2" t="s">
        <v>1033</v>
      </c>
      <c r="C4338" s="5" t="s">
        <v>1029</v>
      </c>
      <c r="D4338" s="2" t="s">
        <v>6051</v>
      </c>
    </row>
    <row r="4339" spans="1:4" ht="13.05" customHeight="1" x14ac:dyDescent="0.3">
      <c r="A4339" s="2" t="s">
        <v>685</v>
      </c>
      <c r="B4339" s="2" t="s">
        <v>1014</v>
      </c>
      <c r="C4339" s="5" t="s">
        <v>1021</v>
      </c>
      <c r="D4339" s="2" t="s">
        <v>1106</v>
      </c>
    </row>
    <row r="4340" spans="1:4" ht="13.05" customHeight="1" x14ac:dyDescent="0.3">
      <c r="A4340" s="2" t="s">
        <v>685</v>
      </c>
      <c r="B4340" s="2" t="s">
        <v>1014</v>
      </c>
      <c r="C4340" s="5" t="s">
        <v>1023</v>
      </c>
      <c r="D4340" s="2" t="s">
        <v>1107</v>
      </c>
    </row>
    <row r="4341" spans="1:4" ht="13.05" customHeight="1" x14ac:dyDescent="0.3">
      <c r="A4341" s="2" t="s">
        <v>689</v>
      </c>
      <c r="B4341" s="2" t="s">
        <v>1199</v>
      </c>
      <c r="C4341" s="5" t="s">
        <v>1021</v>
      </c>
      <c r="D4341" s="2" t="s">
        <v>1106</v>
      </c>
    </row>
    <row r="4342" spans="1:4" ht="13.05" customHeight="1" x14ac:dyDescent="0.3">
      <c r="A4342" s="2" t="s">
        <v>689</v>
      </c>
      <c r="B4342" s="2" t="s">
        <v>1199</v>
      </c>
      <c r="C4342" s="5" t="s">
        <v>1023</v>
      </c>
      <c r="D4342" s="2" t="s">
        <v>1107</v>
      </c>
    </row>
    <row r="4343" spans="1:4" ht="13.05" customHeight="1" x14ac:dyDescent="0.3">
      <c r="A4343" s="2" t="s">
        <v>691</v>
      </c>
      <c r="B4343" s="2" t="s">
        <v>1014</v>
      </c>
      <c r="C4343" s="5" t="s">
        <v>1044</v>
      </c>
      <c r="D4343" s="2" t="s">
        <v>1045</v>
      </c>
    </row>
    <row r="4344" spans="1:4" ht="13.05" customHeight="1" x14ac:dyDescent="0.3">
      <c r="A4344" s="2" t="s">
        <v>691</v>
      </c>
      <c r="B4344" s="2" t="s">
        <v>1014</v>
      </c>
      <c r="C4344" s="5" t="s">
        <v>1015</v>
      </c>
      <c r="D4344" s="2" t="s">
        <v>1016</v>
      </c>
    </row>
    <row r="4345" spans="1:4" ht="13.05" customHeight="1" x14ac:dyDescent="0.3">
      <c r="A4345" s="2" t="s">
        <v>691</v>
      </c>
      <c r="B4345" s="2" t="s">
        <v>1014</v>
      </c>
      <c r="C4345" s="5" t="s">
        <v>1017</v>
      </c>
      <c r="D4345" s="2" t="s">
        <v>1018</v>
      </c>
    </row>
    <row r="4346" spans="1:4" ht="13.05" customHeight="1" x14ac:dyDescent="0.3">
      <c r="A4346" s="2" t="s">
        <v>691</v>
      </c>
      <c r="B4346" s="2" t="s">
        <v>1014</v>
      </c>
      <c r="C4346" s="5" t="s">
        <v>1019</v>
      </c>
      <c r="D4346" s="2" t="s">
        <v>1020</v>
      </c>
    </row>
    <row r="4347" spans="1:4" ht="13.05" customHeight="1" x14ac:dyDescent="0.3">
      <c r="A4347" s="2" t="s">
        <v>696</v>
      </c>
      <c r="B4347" s="2" t="s">
        <v>1033</v>
      </c>
      <c r="C4347" s="5" t="s">
        <v>1015</v>
      </c>
      <c r="D4347" s="2" t="s">
        <v>1092</v>
      </c>
    </row>
    <row r="4348" spans="1:4" ht="13.05" customHeight="1" x14ac:dyDescent="0.3">
      <c r="A4348" s="2" t="s">
        <v>696</v>
      </c>
      <c r="B4348" s="2" t="s">
        <v>1033</v>
      </c>
      <c r="C4348" s="5" t="s">
        <v>1017</v>
      </c>
      <c r="D4348" s="2" t="s">
        <v>1086</v>
      </c>
    </row>
    <row r="4349" spans="1:4" ht="13.05" customHeight="1" x14ac:dyDescent="0.3">
      <c r="A4349" s="2" t="s">
        <v>696</v>
      </c>
      <c r="B4349" s="2" t="s">
        <v>1033</v>
      </c>
      <c r="C4349" s="5" t="s">
        <v>1019</v>
      </c>
      <c r="D4349" s="2" t="s">
        <v>1020</v>
      </c>
    </row>
    <row r="4350" spans="1:4" ht="13.05" customHeight="1" x14ac:dyDescent="0.3">
      <c r="A4350" s="2" t="s">
        <v>696</v>
      </c>
      <c r="B4350" s="2" t="s">
        <v>1033</v>
      </c>
      <c r="C4350" s="5" t="s">
        <v>1021</v>
      </c>
      <c r="D4350" s="2" t="s">
        <v>1106</v>
      </c>
    </row>
    <row r="4351" spans="1:4" ht="13.05" customHeight="1" x14ac:dyDescent="0.3">
      <c r="A4351" s="2" t="s">
        <v>696</v>
      </c>
      <c r="B4351" s="2" t="s">
        <v>1033</v>
      </c>
      <c r="C4351" s="5" t="s">
        <v>1023</v>
      </c>
      <c r="D4351" s="2" t="s">
        <v>1107</v>
      </c>
    </row>
    <row r="4352" spans="1:4" ht="13.05" customHeight="1" x14ac:dyDescent="0.3">
      <c r="A4352" s="2" t="s">
        <v>699</v>
      </c>
      <c r="B4352" s="2" t="s">
        <v>1199</v>
      </c>
      <c r="C4352" s="5" t="s">
        <v>1044</v>
      </c>
      <c r="D4352" s="2" t="s">
        <v>1045</v>
      </c>
    </row>
    <row r="4353" spans="1:4" ht="13.05" customHeight="1" x14ac:dyDescent="0.3">
      <c r="A4353" s="2" t="s">
        <v>699</v>
      </c>
      <c r="B4353" s="2" t="s">
        <v>1199</v>
      </c>
      <c r="C4353" s="5" t="s">
        <v>1015</v>
      </c>
      <c r="D4353" s="2" t="s">
        <v>1092</v>
      </c>
    </row>
    <row r="4354" spans="1:4" ht="13.05" customHeight="1" x14ac:dyDescent="0.3">
      <c r="A4354" s="2" t="s">
        <v>699</v>
      </c>
      <c r="B4354" s="2" t="s">
        <v>1199</v>
      </c>
      <c r="C4354" s="5" t="s">
        <v>1017</v>
      </c>
      <c r="D4354" s="2" t="s">
        <v>1086</v>
      </c>
    </row>
    <row r="4355" spans="1:4" ht="13.05" customHeight="1" x14ac:dyDescent="0.3">
      <c r="A4355" s="2" t="s">
        <v>699</v>
      </c>
      <c r="B4355" s="2" t="s">
        <v>1199</v>
      </c>
      <c r="C4355" s="5" t="s">
        <v>1019</v>
      </c>
      <c r="D4355" s="2" t="s">
        <v>1020</v>
      </c>
    </row>
    <row r="4356" spans="1:4" ht="13.05" customHeight="1" x14ac:dyDescent="0.3">
      <c r="A4356" s="2" t="s">
        <v>699</v>
      </c>
      <c r="B4356" s="2" t="s">
        <v>1199</v>
      </c>
      <c r="C4356" s="5" t="s">
        <v>1021</v>
      </c>
      <c r="D4356" s="2" t="s">
        <v>890</v>
      </c>
    </row>
    <row r="4357" spans="1:4" ht="13.05" customHeight="1" x14ac:dyDescent="0.3">
      <c r="A4357" s="2" t="s">
        <v>699</v>
      </c>
      <c r="B4357" s="2" t="s">
        <v>1199</v>
      </c>
      <c r="C4357" s="5" t="s">
        <v>1023</v>
      </c>
      <c r="D4357" s="2" t="s">
        <v>6137</v>
      </c>
    </row>
    <row r="4358" spans="1:4" ht="13.05" customHeight="1" x14ac:dyDescent="0.3">
      <c r="A4358" s="2" t="s">
        <v>699</v>
      </c>
      <c r="B4358" s="2" t="s">
        <v>1199</v>
      </c>
      <c r="C4358" s="5" t="s">
        <v>1025</v>
      </c>
      <c r="D4358" s="2" t="s">
        <v>6116</v>
      </c>
    </row>
    <row r="4359" spans="1:4" ht="13.05" customHeight="1" x14ac:dyDescent="0.3">
      <c r="A4359" s="2" t="s">
        <v>699</v>
      </c>
      <c r="B4359" s="2" t="s">
        <v>1199</v>
      </c>
      <c r="C4359" s="5" t="s">
        <v>1027</v>
      </c>
      <c r="D4359" s="2" t="s">
        <v>6117</v>
      </c>
    </row>
    <row r="4360" spans="1:4" ht="13.05" customHeight="1" x14ac:dyDescent="0.3">
      <c r="A4360" s="2" t="s">
        <v>699</v>
      </c>
      <c r="B4360" s="2" t="s">
        <v>1199</v>
      </c>
      <c r="C4360" s="5" t="s">
        <v>1029</v>
      </c>
      <c r="D4360" s="2" t="s">
        <v>6138</v>
      </c>
    </row>
    <row r="4361" spans="1:4" ht="13.05" customHeight="1" x14ac:dyDescent="0.3">
      <c r="A4361" s="2" t="s">
        <v>699</v>
      </c>
      <c r="B4361" s="2" t="s">
        <v>1199</v>
      </c>
      <c r="C4361" s="5" t="s">
        <v>1031</v>
      </c>
      <c r="D4361" s="2" t="s">
        <v>6139</v>
      </c>
    </row>
    <row r="4362" spans="1:4" ht="13.05" customHeight="1" x14ac:dyDescent="0.3">
      <c r="A4362" s="2" t="s">
        <v>699</v>
      </c>
      <c r="B4362" s="2" t="s">
        <v>1199</v>
      </c>
      <c r="C4362" s="5" t="s">
        <v>1040</v>
      </c>
      <c r="D4362" s="2" t="s">
        <v>6140</v>
      </c>
    </row>
    <row r="4363" spans="1:4" ht="13.05" customHeight="1" x14ac:dyDescent="0.3">
      <c r="A4363" s="2" t="s">
        <v>699</v>
      </c>
      <c r="B4363" s="2" t="s">
        <v>1199</v>
      </c>
      <c r="C4363" s="5" t="s">
        <v>1042</v>
      </c>
      <c r="D4363" s="2" t="s">
        <v>6141</v>
      </c>
    </row>
    <row r="4364" spans="1:4" ht="13.05" customHeight="1" x14ac:dyDescent="0.3">
      <c r="A4364" s="2" t="s">
        <v>699</v>
      </c>
      <c r="B4364" s="2" t="s">
        <v>1199</v>
      </c>
      <c r="C4364" s="5" t="s">
        <v>1061</v>
      </c>
      <c r="D4364" s="2" t="s">
        <v>6142</v>
      </c>
    </row>
    <row r="4365" spans="1:4" ht="13.05" customHeight="1" x14ac:dyDescent="0.3">
      <c r="A4365" s="2" t="s">
        <v>699</v>
      </c>
      <c r="B4365" s="2" t="s">
        <v>1199</v>
      </c>
      <c r="C4365" s="5" t="s">
        <v>1063</v>
      </c>
      <c r="D4365" s="2" t="s">
        <v>6143</v>
      </c>
    </row>
    <row r="4366" spans="1:4" ht="13.05" customHeight="1" x14ac:dyDescent="0.3">
      <c r="A4366" s="2" t="s">
        <v>699</v>
      </c>
      <c r="B4366" s="2" t="s">
        <v>1199</v>
      </c>
      <c r="C4366" s="5" t="s">
        <v>1065</v>
      </c>
      <c r="D4366" s="2" t="s">
        <v>6144</v>
      </c>
    </row>
    <row r="4367" spans="1:4" ht="13.05" customHeight="1" x14ac:dyDescent="0.3">
      <c r="A4367" s="2" t="s">
        <v>699</v>
      </c>
      <c r="B4367" s="2" t="s">
        <v>1199</v>
      </c>
      <c r="C4367" s="5" t="s">
        <v>1067</v>
      </c>
      <c r="D4367" s="2" t="s">
        <v>6124</v>
      </c>
    </row>
    <row r="4368" spans="1:4" ht="13.05" customHeight="1" x14ac:dyDescent="0.3">
      <c r="A4368" s="2" t="s">
        <v>699</v>
      </c>
      <c r="B4368" s="2" t="s">
        <v>1199</v>
      </c>
      <c r="C4368" s="5" t="s">
        <v>1069</v>
      </c>
      <c r="D4368" s="2" t="s">
        <v>6145</v>
      </c>
    </row>
    <row r="4369" spans="1:4" ht="13.05" customHeight="1" x14ac:dyDescent="0.3">
      <c r="A4369" s="2" t="s">
        <v>699</v>
      </c>
      <c r="B4369" s="2" t="s">
        <v>1199</v>
      </c>
      <c r="C4369" s="5" t="s">
        <v>1071</v>
      </c>
      <c r="D4369" s="2" t="s">
        <v>6126</v>
      </c>
    </row>
    <row r="4370" spans="1:4" ht="13.05" customHeight="1" x14ac:dyDescent="0.3">
      <c r="A4370" s="2" t="s">
        <v>699</v>
      </c>
      <c r="B4370" s="2" t="s">
        <v>1199</v>
      </c>
      <c r="C4370" s="5" t="s">
        <v>1073</v>
      </c>
      <c r="D4370" s="2" t="s">
        <v>6127</v>
      </c>
    </row>
    <row r="4371" spans="1:4" ht="13.05" customHeight="1" x14ac:dyDescent="0.3">
      <c r="A4371" s="2" t="s">
        <v>699</v>
      </c>
      <c r="B4371" s="2" t="s">
        <v>1199</v>
      </c>
      <c r="C4371" s="5" t="s">
        <v>1075</v>
      </c>
      <c r="D4371" s="2" t="s">
        <v>6146</v>
      </c>
    </row>
    <row r="4372" spans="1:4" ht="13.05" customHeight="1" x14ac:dyDescent="0.3">
      <c r="A4372" s="2" t="s">
        <v>699</v>
      </c>
      <c r="B4372" s="2" t="s">
        <v>1199</v>
      </c>
      <c r="C4372" s="5" t="s">
        <v>1077</v>
      </c>
      <c r="D4372" s="2" t="s">
        <v>6147</v>
      </c>
    </row>
    <row r="4373" spans="1:4" ht="13.05" customHeight="1" x14ac:dyDescent="0.3">
      <c r="A4373" s="2" t="s">
        <v>699</v>
      </c>
      <c r="B4373" s="2" t="s">
        <v>1199</v>
      </c>
      <c r="C4373" s="5" t="s">
        <v>1079</v>
      </c>
      <c r="D4373" s="2" t="s">
        <v>1048</v>
      </c>
    </row>
    <row r="4374" spans="1:4" ht="13.05" customHeight="1" x14ac:dyDescent="0.3">
      <c r="A4374" s="2" t="s">
        <v>699</v>
      </c>
      <c r="B4374" s="2" t="s">
        <v>1199</v>
      </c>
      <c r="C4374" s="5" t="s">
        <v>1081</v>
      </c>
      <c r="D4374" s="2" t="s">
        <v>6148</v>
      </c>
    </row>
    <row r="4375" spans="1:4" ht="13.05" customHeight="1" x14ac:dyDescent="0.3">
      <c r="A4375" s="2" t="s">
        <v>699</v>
      </c>
      <c r="B4375" s="2" t="s">
        <v>1199</v>
      </c>
      <c r="C4375" s="5" t="s">
        <v>1222</v>
      </c>
      <c r="D4375" s="2" t="s">
        <v>6132</v>
      </c>
    </row>
    <row r="4376" spans="1:4" ht="13.05" customHeight="1" x14ac:dyDescent="0.3">
      <c r="A4376" s="2" t="s">
        <v>699</v>
      </c>
      <c r="B4376" s="2" t="s">
        <v>1199</v>
      </c>
      <c r="C4376" s="5" t="s">
        <v>1052</v>
      </c>
      <c r="D4376" s="2" t="s">
        <v>6149</v>
      </c>
    </row>
    <row r="4377" spans="1:4" ht="13.05" customHeight="1" x14ac:dyDescent="0.3">
      <c r="A4377" s="2" t="s">
        <v>702</v>
      </c>
      <c r="B4377" s="2" t="s">
        <v>1199</v>
      </c>
      <c r="C4377" s="5" t="s">
        <v>1044</v>
      </c>
      <c r="D4377" s="2" t="s">
        <v>1045</v>
      </c>
    </row>
    <row r="4378" spans="1:4" ht="13.05" customHeight="1" x14ac:dyDescent="0.3">
      <c r="A4378" s="2" t="s">
        <v>702</v>
      </c>
      <c r="B4378" s="2" t="s">
        <v>1199</v>
      </c>
      <c r="C4378" s="5" t="s">
        <v>1015</v>
      </c>
      <c r="D4378" s="2" t="s">
        <v>1092</v>
      </c>
    </row>
    <row r="4379" spans="1:4" ht="13.05" customHeight="1" x14ac:dyDescent="0.3">
      <c r="A4379" s="2" t="s">
        <v>702</v>
      </c>
      <c r="B4379" s="2" t="s">
        <v>1199</v>
      </c>
      <c r="C4379" s="5" t="s">
        <v>1017</v>
      </c>
      <c r="D4379" s="2" t="s">
        <v>1086</v>
      </c>
    </row>
    <row r="4380" spans="1:4" ht="13.05" customHeight="1" x14ac:dyDescent="0.3">
      <c r="A4380" s="2" t="s">
        <v>702</v>
      </c>
      <c r="B4380" s="2" t="s">
        <v>1199</v>
      </c>
      <c r="C4380" s="5" t="s">
        <v>1019</v>
      </c>
      <c r="D4380" s="2" t="s">
        <v>1020</v>
      </c>
    </row>
    <row r="4381" spans="1:4" ht="13.05" customHeight="1" x14ac:dyDescent="0.3">
      <c r="A4381" s="2" t="s">
        <v>702</v>
      </c>
      <c r="B4381" s="2" t="s">
        <v>1199</v>
      </c>
      <c r="C4381" s="5" t="s">
        <v>1021</v>
      </c>
      <c r="D4381" s="2" t="s">
        <v>890</v>
      </c>
    </row>
    <row r="4382" spans="1:4" ht="13.05" customHeight="1" x14ac:dyDescent="0.3">
      <c r="A4382" s="2" t="s">
        <v>702</v>
      </c>
      <c r="B4382" s="2" t="s">
        <v>1199</v>
      </c>
      <c r="C4382" s="5" t="s">
        <v>1023</v>
      </c>
      <c r="D4382" s="2" t="s">
        <v>6137</v>
      </c>
    </row>
    <row r="4383" spans="1:4" ht="13.05" customHeight="1" x14ac:dyDescent="0.3">
      <c r="A4383" s="2" t="s">
        <v>702</v>
      </c>
      <c r="B4383" s="2" t="s">
        <v>1199</v>
      </c>
      <c r="C4383" s="5" t="s">
        <v>1025</v>
      </c>
      <c r="D4383" s="2" t="s">
        <v>6116</v>
      </c>
    </row>
    <row r="4384" spans="1:4" ht="13.05" customHeight="1" x14ac:dyDescent="0.3">
      <c r="A4384" s="2" t="s">
        <v>702</v>
      </c>
      <c r="B4384" s="2" t="s">
        <v>1199</v>
      </c>
      <c r="C4384" s="5" t="s">
        <v>1027</v>
      </c>
      <c r="D4384" s="2" t="s">
        <v>6117</v>
      </c>
    </row>
    <row r="4385" spans="1:4" ht="13.05" customHeight="1" x14ac:dyDescent="0.3">
      <c r="A4385" s="2" t="s">
        <v>702</v>
      </c>
      <c r="B4385" s="2" t="s">
        <v>1199</v>
      </c>
      <c r="C4385" s="5" t="s">
        <v>1029</v>
      </c>
      <c r="D4385" s="2" t="s">
        <v>6138</v>
      </c>
    </row>
    <row r="4386" spans="1:4" ht="13.05" customHeight="1" x14ac:dyDescent="0.3">
      <c r="A4386" s="2" t="s">
        <v>702</v>
      </c>
      <c r="B4386" s="2" t="s">
        <v>1199</v>
      </c>
      <c r="C4386" s="5" t="s">
        <v>1031</v>
      </c>
      <c r="D4386" s="2" t="s">
        <v>6139</v>
      </c>
    </row>
    <row r="4387" spans="1:4" ht="13.05" customHeight="1" x14ac:dyDescent="0.3">
      <c r="A4387" s="2" t="s">
        <v>702</v>
      </c>
      <c r="B4387" s="2" t="s">
        <v>1199</v>
      </c>
      <c r="C4387" s="5" t="s">
        <v>1040</v>
      </c>
      <c r="D4387" s="2" t="s">
        <v>6140</v>
      </c>
    </row>
    <row r="4388" spans="1:4" ht="13.05" customHeight="1" x14ac:dyDescent="0.3">
      <c r="A4388" s="2" t="s">
        <v>702</v>
      </c>
      <c r="B4388" s="2" t="s">
        <v>1199</v>
      </c>
      <c r="C4388" s="5" t="s">
        <v>1042</v>
      </c>
      <c r="D4388" s="2" t="s">
        <v>6141</v>
      </c>
    </row>
    <row r="4389" spans="1:4" ht="13.05" customHeight="1" x14ac:dyDescent="0.3">
      <c r="A4389" s="2" t="s">
        <v>702</v>
      </c>
      <c r="B4389" s="2" t="s">
        <v>1199</v>
      </c>
      <c r="C4389" s="5" t="s">
        <v>1061</v>
      </c>
      <c r="D4389" s="2" t="s">
        <v>6142</v>
      </c>
    </row>
    <row r="4390" spans="1:4" ht="13.05" customHeight="1" x14ac:dyDescent="0.3">
      <c r="A4390" s="2" t="s">
        <v>702</v>
      </c>
      <c r="B4390" s="2" t="s">
        <v>1199</v>
      </c>
      <c r="C4390" s="5" t="s">
        <v>1063</v>
      </c>
      <c r="D4390" s="2" t="s">
        <v>6143</v>
      </c>
    </row>
    <row r="4391" spans="1:4" ht="13.05" customHeight="1" x14ac:dyDescent="0.3">
      <c r="A4391" s="2" t="s">
        <v>702</v>
      </c>
      <c r="B4391" s="2" t="s">
        <v>1199</v>
      </c>
      <c r="C4391" s="5" t="s">
        <v>1065</v>
      </c>
      <c r="D4391" s="2" t="s">
        <v>6144</v>
      </c>
    </row>
    <row r="4392" spans="1:4" ht="13.05" customHeight="1" x14ac:dyDescent="0.3">
      <c r="A4392" s="2" t="s">
        <v>702</v>
      </c>
      <c r="B4392" s="2" t="s">
        <v>1199</v>
      </c>
      <c r="C4392" s="5" t="s">
        <v>1067</v>
      </c>
      <c r="D4392" s="2" t="s">
        <v>6124</v>
      </c>
    </row>
    <row r="4393" spans="1:4" ht="13.05" customHeight="1" x14ac:dyDescent="0.3">
      <c r="A4393" s="2" t="s">
        <v>702</v>
      </c>
      <c r="B4393" s="2" t="s">
        <v>1199</v>
      </c>
      <c r="C4393" s="5" t="s">
        <v>1069</v>
      </c>
      <c r="D4393" s="2" t="s">
        <v>6145</v>
      </c>
    </row>
    <row r="4394" spans="1:4" ht="13.05" customHeight="1" x14ac:dyDescent="0.3">
      <c r="A4394" s="2" t="s">
        <v>702</v>
      </c>
      <c r="B4394" s="2" t="s">
        <v>1199</v>
      </c>
      <c r="C4394" s="5" t="s">
        <v>1071</v>
      </c>
      <c r="D4394" s="2" t="s">
        <v>6126</v>
      </c>
    </row>
    <row r="4395" spans="1:4" ht="13.05" customHeight="1" x14ac:dyDescent="0.3">
      <c r="A4395" s="2" t="s">
        <v>702</v>
      </c>
      <c r="B4395" s="2" t="s">
        <v>1199</v>
      </c>
      <c r="C4395" s="5" t="s">
        <v>1073</v>
      </c>
      <c r="D4395" s="2" t="s">
        <v>6127</v>
      </c>
    </row>
    <row r="4396" spans="1:4" ht="13.05" customHeight="1" x14ac:dyDescent="0.3">
      <c r="A4396" s="2" t="s">
        <v>702</v>
      </c>
      <c r="B4396" s="2" t="s">
        <v>1199</v>
      </c>
      <c r="C4396" s="5" t="s">
        <v>1075</v>
      </c>
      <c r="D4396" s="2" t="s">
        <v>6146</v>
      </c>
    </row>
    <row r="4397" spans="1:4" ht="13.05" customHeight="1" x14ac:dyDescent="0.3">
      <c r="A4397" s="2" t="s">
        <v>702</v>
      </c>
      <c r="B4397" s="2" t="s">
        <v>1199</v>
      </c>
      <c r="C4397" s="5" t="s">
        <v>1077</v>
      </c>
      <c r="D4397" s="2" t="s">
        <v>6147</v>
      </c>
    </row>
    <row r="4398" spans="1:4" ht="13.05" customHeight="1" x14ac:dyDescent="0.3">
      <c r="A4398" s="2" t="s">
        <v>702</v>
      </c>
      <c r="B4398" s="2" t="s">
        <v>1199</v>
      </c>
      <c r="C4398" s="5" t="s">
        <v>1079</v>
      </c>
      <c r="D4398" s="2" t="s">
        <v>1048</v>
      </c>
    </row>
    <row r="4399" spans="1:4" ht="13.05" customHeight="1" x14ac:dyDescent="0.3">
      <c r="A4399" s="2" t="s">
        <v>702</v>
      </c>
      <c r="B4399" s="2" t="s">
        <v>1199</v>
      </c>
      <c r="C4399" s="5" t="s">
        <v>1081</v>
      </c>
      <c r="D4399" s="2" t="s">
        <v>6148</v>
      </c>
    </row>
    <row r="4400" spans="1:4" ht="13.05" customHeight="1" x14ac:dyDescent="0.3">
      <c r="A4400" s="2" t="s">
        <v>702</v>
      </c>
      <c r="B4400" s="2" t="s">
        <v>1199</v>
      </c>
      <c r="C4400" s="5" t="s">
        <v>1222</v>
      </c>
      <c r="D4400" s="2" t="s">
        <v>6132</v>
      </c>
    </row>
    <row r="4401" spans="1:4" ht="13.05" customHeight="1" x14ac:dyDescent="0.3">
      <c r="A4401" s="2" t="s">
        <v>702</v>
      </c>
      <c r="B4401" s="2" t="s">
        <v>1199</v>
      </c>
      <c r="C4401" s="5" t="s">
        <v>1052</v>
      </c>
      <c r="D4401" s="2" t="s">
        <v>6149</v>
      </c>
    </row>
    <row r="4402" spans="1:4" ht="13.05" customHeight="1" x14ac:dyDescent="0.3">
      <c r="A4402" s="2" t="s">
        <v>704</v>
      </c>
      <c r="B4402" s="2" t="s">
        <v>1199</v>
      </c>
      <c r="C4402" s="5" t="s">
        <v>1044</v>
      </c>
      <c r="D4402" s="2" t="s">
        <v>1045</v>
      </c>
    </row>
    <row r="4403" spans="1:4" ht="13.05" customHeight="1" x14ac:dyDescent="0.3">
      <c r="A4403" s="2" t="s">
        <v>704</v>
      </c>
      <c r="B4403" s="2" t="s">
        <v>1199</v>
      </c>
      <c r="C4403" s="5" t="s">
        <v>1015</v>
      </c>
      <c r="D4403" s="2" t="s">
        <v>1092</v>
      </c>
    </row>
    <row r="4404" spans="1:4" ht="13.05" customHeight="1" x14ac:dyDescent="0.3">
      <c r="A4404" s="2" t="s">
        <v>704</v>
      </c>
      <c r="B4404" s="2" t="s">
        <v>1199</v>
      </c>
      <c r="C4404" s="5" t="s">
        <v>1017</v>
      </c>
      <c r="D4404" s="2" t="s">
        <v>1086</v>
      </c>
    </row>
    <row r="4405" spans="1:4" ht="13.05" customHeight="1" x14ac:dyDescent="0.3">
      <c r="A4405" s="2" t="s">
        <v>704</v>
      </c>
      <c r="B4405" s="2" t="s">
        <v>1199</v>
      </c>
      <c r="C4405" s="5" t="s">
        <v>1019</v>
      </c>
      <c r="D4405" s="2" t="s">
        <v>1020</v>
      </c>
    </row>
    <row r="4406" spans="1:4" ht="13.05" customHeight="1" x14ac:dyDescent="0.3">
      <c r="A4406" s="2" t="s">
        <v>704</v>
      </c>
      <c r="B4406" s="2" t="s">
        <v>1199</v>
      </c>
      <c r="C4406" s="5" t="s">
        <v>1021</v>
      </c>
      <c r="D4406" s="2" t="s">
        <v>890</v>
      </c>
    </row>
    <row r="4407" spans="1:4" ht="13.05" customHeight="1" x14ac:dyDescent="0.3">
      <c r="A4407" s="2" t="s">
        <v>704</v>
      </c>
      <c r="B4407" s="2" t="s">
        <v>1199</v>
      </c>
      <c r="C4407" s="5" t="s">
        <v>1023</v>
      </c>
      <c r="D4407" s="2" t="s">
        <v>6137</v>
      </c>
    </row>
    <row r="4408" spans="1:4" ht="13.05" customHeight="1" x14ac:dyDescent="0.3">
      <c r="A4408" s="2" t="s">
        <v>704</v>
      </c>
      <c r="B4408" s="2" t="s">
        <v>1199</v>
      </c>
      <c r="C4408" s="5" t="s">
        <v>1025</v>
      </c>
      <c r="D4408" s="2" t="s">
        <v>6116</v>
      </c>
    </row>
    <row r="4409" spans="1:4" ht="13.05" customHeight="1" x14ac:dyDescent="0.3">
      <c r="A4409" s="2" t="s">
        <v>704</v>
      </c>
      <c r="B4409" s="2" t="s">
        <v>1199</v>
      </c>
      <c r="C4409" s="5" t="s">
        <v>1027</v>
      </c>
      <c r="D4409" s="2" t="s">
        <v>6117</v>
      </c>
    </row>
    <row r="4410" spans="1:4" ht="13.05" customHeight="1" x14ac:dyDescent="0.3">
      <c r="A4410" s="2" t="s">
        <v>704</v>
      </c>
      <c r="B4410" s="2" t="s">
        <v>1199</v>
      </c>
      <c r="C4410" s="5" t="s">
        <v>1029</v>
      </c>
      <c r="D4410" s="2" t="s">
        <v>6138</v>
      </c>
    </row>
    <row r="4411" spans="1:4" ht="13.05" customHeight="1" x14ac:dyDescent="0.3">
      <c r="A4411" s="2" t="s">
        <v>704</v>
      </c>
      <c r="B4411" s="2" t="s">
        <v>1199</v>
      </c>
      <c r="C4411" s="5" t="s">
        <v>1031</v>
      </c>
      <c r="D4411" s="2" t="s">
        <v>6139</v>
      </c>
    </row>
    <row r="4412" spans="1:4" ht="13.05" customHeight="1" x14ac:dyDescent="0.3">
      <c r="A4412" s="2" t="s">
        <v>704</v>
      </c>
      <c r="B4412" s="2" t="s">
        <v>1199</v>
      </c>
      <c r="C4412" s="5" t="s">
        <v>1040</v>
      </c>
      <c r="D4412" s="2" t="s">
        <v>6140</v>
      </c>
    </row>
    <row r="4413" spans="1:4" ht="13.05" customHeight="1" x14ac:dyDescent="0.3">
      <c r="A4413" s="2" t="s">
        <v>704</v>
      </c>
      <c r="B4413" s="2" t="s">
        <v>1199</v>
      </c>
      <c r="C4413" s="5" t="s">
        <v>1042</v>
      </c>
      <c r="D4413" s="2" t="s">
        <v>6141</v>
      </c>
    </row>
    <row r="4414" spans="1:4" ht="13.05" customHeight="1" x14ac:dyDescent="0.3">
      <c r="A4414" s="2" t="s">
        <v>704</v>
      </c>
      <c r="B4414" s="2" t="s">
        <v>1199</v>
      </c>
      <c r="C4414" s="5" t="s">
        <v>1061</v>
      </c>
      <c r="D4414" s="2" t="s">
        <v>6142</v>
      </c>
    </row>
    <row r="4415" spans="1:4" ht="13.05" customHeight="1" x14ac:dyDescent="0.3">
      <c r="A4415" s="2" t="s">
        <v>704</v>
      </c>
      <c r="B4415" s="2" t="s">
        <v>1199</v>
      </c>
      <c r="C4415" s="5" t="s">
        <v>1063</v>
      </c>
      <c r="D4415" s="2" t="s">
        <v>6143</v>
      </c>
    </row>
    <row r="4416" spans="1:4" ht="13.05" customHeight="1" x14ac:dyDescent="0.3">
      <c r="A4416" s="2" t="s">
        <v>704</v>
      </c>
      <c r="B4416" s="2" t="s">
        <v>1199</v>
      </c>
      <c r="C4416" s="5" t="s">
        <v>1065</v>
      </c>
      <c r="D4416" s="2" t="s">
        <v>6144</v>
      </c>
    </row>
    <row r="4417" spans="1:4" ht="13.05" customHeight="1" x14ac:dyDescent="0.3">
      <c r="A4417" s="2" t="s">
        <v>704</v>
      </c>
      <c r="B4417" s="2" t="s">
        <v>1199</v>
      </c>
      <c r="C4417" s="5" t="s">
        <v>1067</v>
      </c>
      <c r="D4417" s="2" t="s">
        <v>6124</v>
      </c>
    </row>
    <row r="4418" spans="1:4" ht="13.05" customHeight="1" x14ac:dyDescent="0.3">
      <c r="A4418" s="2" t="s">
        <v>704</v>
      </c>
      <c r="B4418" s="2" t="s">
        <v>1199</v>
      </c>
      <c r="C4418" s="5" t="s">
        <v>1069</v>
      </c>
      <c r="D4418" s="2" t="s">
        <v>6145</v>
      </c>
    </row>
    <row r="4419" spans="1:4" ht="13.05" customHeight="1" x14ac:dyDescent="0.3">
      <c r="A4419" s="2" t="s">
        <v>704</v>
      </c>
      <c r="B4419" s="2" t="s">
        <v>1199</v>
      </c>
      <c r="C4419" s="5" t="s">
        <v>1071</v>
      </c>
      <c r="D4419" s="2" t="s">
        <v>6126</v>
      </c>
    </row>
    <row r="4420" spans="1:4" ht="13.05" customHeight="1" x14ac:dyDescent="0.3">
      <c r="A4420" s="2" t="s">
        <v>704</v>
      </c>
      <c r="B4420" s="2" t="s">
        <v>1199</v>
      </c>
      <c r="C4420" s="5" t="s">
        <v>1073</v>
      </c>
      <c r="D4420" s="2" t="s">
        <v>6127</v>
      </c>
    </row>
    <row r="4421" spans="1:4" ht="13.05" customHeight="1" x14ac:dyDescent="0.3">
      <c r="A4421" s="2" t="s">
        <v>704</v>
      </c>
      <c r="B4421" s="2" t="s">
        <v>1199</v>
      </c>
      <c r="C4421" s="5" t="s">
        <v>1075</v>
      </c>
      <c r="D4421" s="2" t="s">
        <v>6146</v>
      </c>
    </row>
    <row r="4422" spans="1:4" ht="13.05" customHeight="1" x14ac:dyDescent="0.3">
      <c r="A4422" s="2" t="s">
        <v>704</v>
      </c>
      <c r="B4422" s="2" t="s">
        <v>1199</v>
      </c>
      <c r="C4422" s="5" t="s">
        <v>1077</v>
      </c>
      <c r="D4422" s="2" t="s">
        <v>6147</v>
      </c>
    </row>
    <row r="4423" spans="1:4" ht="13.05" customHeight="1" x14ac:dyDescent="0.3">
      <c r="A4423" s="2" t="s">
        <v>704</v>
      </c>
      <c r="B4423" s="2" t="s">
        <v>1199</v>
      </c>
      <c r="C4423" s="5" t="s">
        <v>1079</v>
      </c>
      <c r="D4423" s="2" t="s">
        <v>1048</v>
      </c>
    </row>
    <row r="4424" spans="1:4" ht="13.05" customHeight="1" x14ac:dyDescent="0.3">
      <c r="A4424" s="2" t="s">
        <v>704</v>
      </c>
      <c r="B4424" s="2" t="s">
        <v>1199</v>
      </c>
      <c r="C4424" s="5" t="s">
        <v>1081</v>
      </c>
      <c r="D4424" s="2" t="s">
        <v>6148</v>
      </c>
    </row>
    <row r="4425" spans="1:4" ht="13.05" customHeight="1" x14ac:dyDescent="0.3">
      <c r="A4425" s="2" t="s">
        <v>704</v>
      </c>
      <c r="B4425" s="2" t="s">
        <v>1199</v>
      </c>
      <c r="C4425" s="5" t="s">
        <v>1222</v>
      </c>
      <c r="D4425" s="2" t="s">
        <v>6132</v>
      </c>
    </row>
    <row r="4426" spans="1:4" ht="13.05" customHeight="1" x14ac:dyDescent="0.3">
      <c r="A4426" s="2" t="s">
        <v>704</v>
      </c>
      <c r="B4426" s="2" t="s">
        <v>1199</v>
      </c>
      <c r="C4426" s="5" t="s">
        <v>1052</v>
      </c>
      <c r="D4426" s="2" t="s">
        <v>6149</v>
      </c>
    </row>
    <row r="4427" spans="1:4" ht="13.05" customHeight="1" x14ac:dyDescent="0.3">
      <c r="A4427" s="2" t="s">
        <v>706</v>
      </c>
      <c r="B4427" s="2" t="s">
        <v>1199</v>
      </c>
      <c r="C4427" s="5" t="s">
        <v>1044</v>
      </c>
      <c r="D4427" s="2" t="s">
        <v>1045</v>
      </c>
    </row>
    <row r="4428" spans="1:4" ht="13.05" customHeight="1" x14ac:dyDescent="0.3">
      <c r="A4428" s="2" t="s">
        <v>706</v>
      </c>
      <c r="B4428" s="2" t="s">
        <v>1199</v>
      </c>
      <c r="C4428" s="5" t="s">
        <v>1015</v>
      </c>
      <c r="D4428" s="2" t="s">
        <v>1092</v>
      </c>
    </row>
    <row r="4429" spans="1:4" ht="13.05" customHeight="1" x14ac:dyDescent="0.3">
      <c r="A4429" s="2" t="s">
        <v>706</v>
      </c>
      <c r="B4429" s="2" t="s">
        <v>1199</v>
      </c>
      <c r="C4429" s="5" t="s">
        <v>1017</v>
      </c>
      <c r="D4429" s="2" t="s">
        <v>1086</v>
      </c>
    </row>
    <row r="4430" spans="1:4" ht="13.05" customHeight="1" x14ac:dyDescent="0.3">
      <c r="A4430" s="2" t="s">
        <v>706</v>
      </c>
      <c r="B4430" s="2" t="s">
        <v>1199</v>
      </c>
      <c r="C4430" s="5" t="s">
        <v>1019</v>
      </c>
      <c r="D4430" s="2" t="s">
        <v>1020</v>
      </c>
    </row>
    <row r="4431" spans="1:4" ht="13.05" customHeight="1" x14ac:dyDescent="0.3">
      <c r="A4431" s="2" t="s">
        <v>706</v>
      </c>
      <c r="B4431" s="2" t="s">
        <v>1199</v>
      </c>
      <c r="C4431" s="5" t="s">
        <v>1021</v>
      </c>
      <c r="D4431" s="2" t="s">
        <v>890</v>
      </c>
    </row>
    <row r="4432" spans="1:4" ht="13.05" customHeight="1" x14ac:dyDescent="0.3">
      <c r="A4432" s="2" t="s">
        <v>706</v>
      </c>
      <c r="B4432" s="2" t="s">
        <v>1199</v>
      </c>
      <c r="C4432" s="5" t="s">
        <v>1023</v>
      </c>
      <c r="D4432" s="2" t="s">
        <v>6137</v>
      </c>
    </row>
    <row r="4433" spans="1:4" ht="13.05" customHeight="1" x14ac:dyDescent="0.3">
      <c r="A4433" s="2" t="s">
        <v>706</v>
      </c>
      <c r="B4433" s="2" t="s">
        <v>1199</v>
      </c>
      <c r="C4433" s="5" t="s">
        <v>1025</v>
      </c>
      <c r="D4433" s="2" t="s">
        <v>6116</v>
      </c>
    </row>
    <row r="4434" spans="1:4" ht="13.05" customHeight="1" x14ac:dyDescent="0.3">
      <c r="A4434" s="2" t="s">
        <v>706</v>
      </c>
      <c r="B4434" s="2" t="s">
        <v>1199</v>
      </c>
      <c r="C4434" s="5" t="s">
        <v>1027</v>
      </c>
      <c r="D4434" s="2" t="s">
        <v>6117</v>
      </c>
    </row>
    <row r="4435" spans="1:4" ht="13.05" customHeight="1" x14ac:dyDescent="0.3">
      <c r="A4435" s="2" t="s">
        <v>706</v>
      </c>
      <c r="B4435" s="2" t="s">
        <v>1199</v>
      </c>
      <c r="C4435" s="5" t="s">
        <v>1029</v>
      </c>
      <c r="D4435" s="2" t="s">
        <v>6138</v>
      </c>
    </row>
    <row r="4436" spans="1:4" ht="13.05" customHeight="1" x14ac:dyDescent="0.3">
      <c r="A4436" s="2" t="s">
        <v>706</v>
      </c>
      <c r="B4436" s="2" t="s">
        <v>1199</v>
      </c>
      <c r="C4436" s="5" t="s">
        <v>1031</v>
      </c>
      <c r="D4436" s="2" t="s">
        <v>6139</v>
      </c>
    </row>
    <row r="4437" spans="1:4" ht="13.05" customHeight="1" x14ac:dyDescent="0.3">
      <c r="A4437" s="2" t="s">
        <v>706</v>
      </c>
      <c r="B4437" s="2" t="s">
        <v>1199</v>
      </c>
      <c r="C4437" s="5" t="s">
        <v>1040</v>
      </c>
      <c r="D4437" s="2" t="s">
        <v>6140</v>
      </c>
    </row>
    <row r="4438" spans="1:4" ht="13.05" customHeight="1" x14ac:dyDescent="0.3">
      <c r="A4438" s="2" t="s">
        <v>706</v>
      </c>
      <c r="B4438" s="2" t="s">
        <v>1199</v>
      </c>
      <c r="C4438" s="5" t="s">
        <v>1042</v>
      </c>
      <c r="D4438" s="2" t="s">
        <v>6141</v>
      </c>
    </row>
    <row r="4439" spans="1:4" ht="13.05" customHeight="1" x14ac:dyDescent="0.3">
      <c r="A4439" s="2" t="s">
        <v>706</v>
      </c>
      <c r="B4439" s="2" t="s">
        <v>1199</v>
      </c>
      <c r="C4439" s="5" t="s">
        <v>1061</v>
      </c>
      <c r="D4439" s="2" t="s">
        <v>6142</v>
      </c>
    </row>
    <row r="4440" spans="1:4" ht="13.05" customHeight="1" x14ac:dyDescent="0.3">
      <c r="A4440" s="2" t="s">
        <v>706</v>
      </c>
      <c r="B4440" s="2" t="s">
        <v>1199</v>
      </c>
      <c r="C4440" s="5" t="s">
        <v>1063</v>
      </c>
      <c r="D4440" s="2" t="s">
        <v>6143</v>
      </c>
    </row>
    <row r="4441" spans="1:4" ht="13.05" customHeight="1" x14ac:dyDescent="0.3">
      <c r="A4441" s="2" t="s">
        <v>706</v>
      </c>
      <c r="B4441" s="2" t="s">
        <v>1199</v>
      </c>
      <c r="C4441" s="5" t="s">
        <v>1065</v>
      </c>
      <c r="D4441" s="2" t="s">
        <v>6144</v>
      </c>
    </row>
    <row r="4442" spans="1:4" ht="13.05" customHeight="1" x14ac:dyDescent="0.3">
      <c r="A4442" s="2" t="s">
        <v>706</v>
      </c>
      <c r="B4442" s="2" t="s">
        <v>1199</v>
      </c>
      <c r="C4442" s="5" t="s">
        <v>1067</v>
      </c>
      <c r="D4442" s="2" t="s">
        <v>6124</v>
      </c>
    </row>
    <row r="4443" spans="1:4" ht="13.05" customHeight="1" x14ac:dyDescent="0.3">
      <c r="A4443" s="2" t="s">
        <v>706</v>
      </c>
      <c r="B4443" s="2" t="s">
        <v>1199</v>
      </c>
      <c r="C4443" s="5" t="s">
        <v>1069</v>
      </c>
      <c r="D4443" s="2" t="s">
        <v>6145</v>
      </c>
    </row>
    <row r="4444" spans="1:4" ht="13.05" customHeight="1" x14ac:dyDescent="0.3">
      <c r="A4444" s="2" t="s">
        <v>706</v>
      </c>
      <c r="B4444" s="2" t="s">
        <v>1199</v>
      </c>
      <c r="C4444" s="5" t="s">
        <v>1071</v>
      </c>
      <c r="D4444" s="2" t="s">
        <v>6126</v>
      </c>
    </row>
    <row r="4445" spans="1:4" ht="13.05" customHeight="1" x14ac:dyDescent="0.3">
      <c r="A4445" s="2" t="s">
        <v>706</v>
      </c>
      <c r="B4445" s="2" t="s">
        <v>1199</v>
      </c>
      <c r="C4445" s="5" t="s">
        <v>1073</v>
      </c>
      <c r="D4445" s="2" t="s">
        <v>6127</v>
      </c>
    </row>
    <row r="4446" spans="1:4" ht="13.05" customHeight="1" x14ac:dyDescent="0.3">
      <c r="A4446" s="2" t="s">
        <v>706</v>
      </c>
      <c r="B4446" s="2" t="s">
        <v>1199</v>
      </c>
      <c r="C4446" s="5" t="s">
        <v>1075</v>
      </c>
      <c r="D4446" s="2" t="s">
        <v>6146</v>
      </c>
    </row>
    <row r="4447" spans="1:4" ht="13.05" customHeight="1" x14ac:dyDescent="0.3">
      <c r="A4447" s="2" t="s">
        <v>706</v>
      </c>
      <c r="B4447" s="2" t="s">
        <v>1199</v>
      </c>
      <c r="C4447" s="5" t="s">
        <v>1077</v>
      </c>
      <c r="D4447" s="2" t="s">
        <v>6147</v>
      </c>
    </row>
    <row r="4448" spans="1:4" ht="13.05" customHeight="1" x14ac:dyDescent="0.3">
      <c r="A4448" s="2" t="s">
        <v>706</v>
      </c>
      <c r="B4448" s="2" t="s">
        <v>1199</v>
      </c>
      <c r="C4448" s="5" t="s">
        <v>1079</v>
      </c>
      <c r="D4448" s="2" t="s">
        <v>1048</v>
      </c>
    </row>
    <row r="4449" spans="1:4" ht="13.05" customHeight="1" x14ac:dyDescent="0.3">
      <c r="A4449" s="2" t="s">
        <v>706</v>
      </c>
      <c r="B4449" s="2" t="s">
        <v>1199</v>
      </c>
      <c r="C4449" s="5" t="s">
        <v>1081</v>
      </c>
      <c r="D4449" s="2" t="s">
        <v>6148</v>
      </c>
    </row>
    <row r="4450" spans="1:4" ht="13.05" customHeight="1" x14ac:dyDescent="0.3">
      <c r="A4450" s="2" t="s">
        <v>706</v>
      </c>
      <c r="B4450" s="2" t="s">
        <v>1199</v>
      </c>
      <c r="C4450" s="5" t="s">
        <v>1222</v>
      </c>
      <c r="D4450" s="2" t="s">
        <v>6132</v>
      </c>
    </row>
    <row r="4451" spans="1:4" ht="13.05" customHeight="1" x14ac:dyDescent="0.3">
      <c r="A4451" s="2" t="s">
        <v>706</v>
      </c>
      <c r="B4451" s="2" t="s">
        <v>1199</v>
      </c>
      <c r="C4451" s="5" t="s">
        <v>1052</v>
      </c>
      <c r="D4451" s="2" t="s">
        <v>6149</v>
      </c>
    </row>
    <row r="4452" spans="1:4" ht="13.05" customHeight="1" x14ac:dyDescent="0.3">
      <c r="A4452" s="2" t="s">
        <v>708</v>
      </c>
      <c r="B4452" s="2" t="s">
        <v>1199</v>
      </c>
      <c r="C4452" s="5" t="s">
        <v>1044</v>
      </c>
      <c r="D4452" s="2" t="s">
        <v>1045</v>
      </c>
    </row>
    <row r="4453" spans="1:4" ht="13.05" customHeight="1" x14ac:dyDescent="0.3">
      <c r="A4453" s="2" t="s">
        <v>708</v>
      </c>
      <c r="B4453" s="2" t="s">
        <v>1199</v>
      </c>
      <c r="C4453" s="5" t="s">
        <v>1015</v>
      </c>
      <c r="D4453" s="2" t="s">
        <v>1092</v>
      </c>
    </row>
    <row r="4454" spans="1:4" ht="13.05" customHeight="1" x14ac:dyDescent="0.3">
      <c r="A4454" s="2" t="s">
        <v>708</v>
      </c>
      <c r="B4454" s="2" t="s">
        <v>1199</v>
      </c>
      <c r="C4454" s="5" t="s">
        <v>1017</v>
      </c>
      <c r="D4454" s="2" t="s">
        <v>1086</v>
      </c>
    </row>
    <row r="4455" spans="1:4" ht="13.05" customHeight="1" x14ac:dyDescent="0.3">
      <c r="A4455" s="2" t="s">
        <v>708</v>
      </c>
      <c r="B4455" s="2" t="s">
        <v>1199</v>
      </c>
      <c r="C4455" s="5" t="s">
        <v>1019</v>
      </c>
      <c r="D4455" s="2" t="s">
        <v>1020</v>
      </c>
    </row>
    <row r="4456" spans="1:4" ht="13.05" customHeight="1" x14ac:dyDescent="0.3">
      <c r="A4456" s="2" t="s">
        <v>708</v>
      </c>
      <c r="B4456" s="2" t="s">
        <v>1199</v>
      </c>
      <c r="C4456" s="5" t="s">
        <v>1021</v>
      </c>
      <c r="D4456" s="2" t="s">
        <v>890</v>
      </c>
    </row>
    <row r="4457" spans="1:4" ht="13.05" customHeight="1" x14ac:dyDescent="0.3">
      <c r="A4457" s="2" t="s">
        <v>708</v>
      </c>
      <c r="B4457" s="2" t="s">
        <v>1199</v>
      </c>
      <c r="C4457" s="5" t="s">
        <v>1023</v>
      </c>
      <c r="D4457" s="2" t="s">
        <v>6137</v>
      </c>
    </row>
    <row r="4458" spans="1:4" ht="13.05" customHeight="1" x14ac:dyDescent="0.3">
      <c r="A4458" s="2" t="s">
        <v>708</v>
      </c>
      <c r="B4458" s="2" t="s">
        <v>1199</v>
      </c>
      <c r="C4458" s="5" t="s">
        <v>1025</v>
      </c>
      <c r="D4458" s="2" t="s">
        <v>6116</v>
      </c>
    </row>
    <row r="4459" spans="1:4" ht="13.05" customHeight="1" x14ac:dyDescent="0.3">
      <c r="A4459" s="2" t="s">
        <v>708</v>
      </c>
      <c r="B4459" s="2" t="s">
        <v>1199</v>
      </c>
      <c r="C4459" s="5" t="s">
        <v>1027</v>
      </c>
      <c r="D4459" s="2" t="s">
        <v>6117</v>
      </c>
    </row>
    <row r="4460" spans="1:4" ht="13.05" customHeight="1" x14ac:dyDescent="0.3">
      <c r="A4460" s="2" t="s">
        <v>708</v>
      </c>
      <c r="B4460" s="2" t="s">
        <v>1199</v>
      </c>
      <c r="C4460" s="5" t="s">
        <v>1029</v>
      </c>
      <c r="D4460" s="2" t="s">
        <v>6138</v>
      </c>
    </row>
    <row r="4461" spans="1:4" ht="13.05" customHeight="1" x14ac:dyDescent="0.3">
      <c r="A4461" s="2" t="s">
        <v>708</v>
      </c>
      <c r="B4461" s="2" t="s">
        <v>1199</v>
      </c>
      <c r="C4461" s="5" t="s">
        <v>1031</v>
      </c>
      <c r="D4461" s="2" t="s">
        <v>6139</v>
      </c>
    </row>
    <row r="4462" spans="1:4" ht="13.05" customHeight="1" x14ac:dyDescent="0.3">
      <c r="A4462" s="2" t="s">
        <v>708</v>
      </c>
      <c r="B4462" s="2" t="s">
        <v>1199</v>
      </c>
      <c r="C4462" s="5" t="s">
        <v>1040</v>
      </c>
      <c r="D4462" s="2" t="s">
        <v>6140</v>
      </c>
    </row>
    <row r="4463" spans="1:4" ht="13.05" customHeight="1" x14ac:dyDescent="0.3">
      <c r="A4463" s="2" t="s">
        <v>708</v>
      </c>
      <c r="B4463" s="2" t="s">
        <v>1199</v>
      </c>
      <c r="C4463" s="5" t="s">
        <v>1042</v>
      </c>
      <c r="D4463" s="2" t="s">
        <v>6141</v>
      </c>
    </row>
    <row r="4464" spans="1:4" ht="13.05" customHeight="1" x14ac:dyDescent="0.3">
      <c r="A4464" s="2" t="s">
        <v>708</v>
      </c>
      <c r="B4464" s="2" t="s">
        <v>1199</v>
      </c>
      <c r="C4464" s="5" t="s">
        <v>1061</v>
      </c>
      <c r="D4464" s="2" t="s">
        <v>6142</v>
      </c>
    </row>
    <row r="4465" spans="1:4" ht="13.05" customHeight="1" x14ac:dyDescent="0.3">
      <c r="A4465" s="2" t="s">
        <v>708</v>
      </c>
      <c r="B4465" s="2" t="s">
        <v>1199</v>
      </c>
      <c r="C4465" s="5" t="s">
        <v>1063</v>
      </c>
      <c r="D4465" s="2" t="s">
        <v>6143</v>
      </c>
    </row>
    <row r="4466" spans="1:4" ht="13.05" customHeight="1" x14ac:dyDescent="0.3">
      <c r="A4466" s="2" t="s">
        <v>708</v>
      </c>
      <c r="B4466" s="2" t="s">
        <v>1199</v>
      </c>
      <c r="C4466" s="5" t="s">
        <v>1065</v>
      </c>
      <c r="D4466" s="2" t="s">
        <v>6144</v>
      </c>
    </row>
    <row r="4467" spans="1:4" ht="13.05" customHeight="1" x14ac:dyDescent="0.3">
      <c r="A4467" s="2" t="s">
        <v>708</v>
      </c>
      <c r="B4467" s="2" t="s">
        <v>1199</v>
      </c>
      <c r="C4467" s="5" t="s">
        <v>1067</v>
      </c>
      <c r="D4467" s="2" t="s">
        <v>6124</v>
      </c>
    </row>
    <row r="4468" spans="1:4" ht="13.05" customHeight="1" x14ac:dyDescent="0.3">
      <c r="A4468" s="2" t="s">
        <v>708</v>
      </c>
      <c r="B4468" s="2" t="s">
        <v>1199</v>
      </c>
      <c r="C4468" s="5" t="s">
        <v>1069</v>
      </c>
      <c r="D4468" s="2" t="s">
        <v>6145</v>
      </c>
    </row>
    <row r="4469" spans="1:4" ht="13.05" customHeight="1" x14ac:dyDescent="0.3">
      <c r="A4469" s="2" t="s">
        <v>708</v>
      </c>
      <c r="B4469" s="2" t="s">
        <v>1199</v>
      </c>
      <c r="C4469" s="5" t="s">
        <v>1071</v>
      </c>
      <c r="D4469" s="2" t="s">
        <v>6126</v>
      </c>
    </row>
    <row r="4470" spans="1:4" ht="13.05" customHeight="1" x14ac:dyDescent="0.3">
      <c r="A4470" s="2" t="s">
        <v>708</v>
      </c>
      <c r="B4470" s="2" t="s">
        <v>1199</v>
      </c>
      <c r="C4470" s="5" t="s">
        <v>1073</v>
      </c>
      <c r="D4470" s="2" t="s">
        <v>6127</v>
      </c>
    </row>
    <row r="4471" spans="1:4" ht="13.05" customHeight="1" x14ac:dyDescent="0.3">
      <c r="A4471" s="2" t="s">
        <v>708</v>
      </c>
      <c r="B4471" s="2" t="s">
        <v>1199</v>
      </c>
      <c r="C4471" s="5" t="s">
        <v>1075</v>
      </c>
      <c r="D4471" s="2" t="s">
        <v>6146</v>
      </c>
    </row>
    <row r="4472" spans="1:4" ht="13.05" customHeight="1" x14ac:dyDescent="0.3">
      <c r="A4472" s="2" t="s">
        <v>708</v>
      </c>
      <c r="B4472" s="2" t="s">
        <v>1199</v>
      </c>
      <c r="C4472" s="5" t="s">
        <v>1077</v>
      </c>
      <c r="D4472" s="2" t="s">
        <v>6147</v>
      </c>
    </row>
    <row r="4473" spans="1:4" ht="13.05" customHeight="1" x14ac:dyDescent="0.3">
      <c r="A4473" s="2" t="s">
        <v>708</v>
      </c>
      <c r="B4473" s="2" t="s">
        <v>1199</v>
      </c>
      <c r="C4473" s="5" t="s">
        <v>1079</v>
      </c>
      <c r="D4473" s="2" t="s">
        <v>1048</v>
      </c>
    </row>
    <row r="4474" spans="1:4" ht="13.05" customHeight="1" x14ac:dyDescent="0.3">
      <c r="A4474" s="2" t="s">
        <v>708</v>
      </c>
      <c r="B4474" s="2" t="s">
        <v>1199</v>
      </c>
      <c r="C4474" s="5" t="s">
        <v>1081</v>
      </c>
      <c r="D4474" s="2" t="s">
        <v>6148</v>
      </c>
    </row>
    <row r="4475" spans="1:4" ht="13.05" customHeight="1" x14ac:dyDescent="0.3">
      <c r="A4475" s="2" t="s">
        <v>708</v>
      </c>
      <c r="B4475" s="2" t="s">
        <v>1199</v>
      </c>
      <c r="C4475" s="5" t="s">
        <v>1222</v>
      </c>
      <c r="D4475" s="2" t="s">
        <v>6132</v>
      </c>
    </row>
    <row r="4476" spans="1:4" ht="13.05" customHeight="1" x14ac:dyDescent="0.3">
      <c r="A4476" s="2" t="s">
        <v>708</v>
      </c>
      <c r="B4476" s="2" t="s">
        <v>1199</v>
      </c>
      <c r="C4476" s="5" t="s">
        <v>1052</v>
      </c>
      <c r="D4476" s="2" t="s">
        <v>6149</v>
      </c>
    </row>
    <row r="4477" spans="1:4" ht="13.05" customHeight="1" x14ac:dyDescent="0.3">
      <c r="A4477" s="2" t="s">
        <v>710</v>
      </c>
      <c r="B4477" s="2" t="s">
        <v>1199</v>
      </c>
      <c r="C4477" s="5" t="s">
        <v>1044</v>
      </c>
      <c r="D4477" s="2" t="s">
        <v>1045</v>
      </c>
    </row>
    <row r="4478" spans="1:4" ht="13.05" customHeight="1" x14ac:dyDescent="0.3">
      <c r="A4478" s="2" t="s">
        <v>710</v>
      </c>
      <c r="B4478" s="2" t="s">
        <v>1199</v>
      </c>
      <c r="C4478" s="5" t="s">
        <v>1015</v>
      </c>
      <c r="D4478" s="2" t="s">
        <v>1092</v>
      </c>
    </row>
    <row r="4479" spans="1:4" ht="13.05" customHeight="1" x14ac:dyDescent="0.3">
      <c r="A4479" s="2" t="s">
        <v>710</v>
      </c>
      <c r="B4479" s="2" t="s">
        <v>1199</v>
      </c>
      <c r="C4479" s="5" t="s">
        <v>1017</v>
      </c>
      <c r="D4479" s="2" t="s">
        <v>1086</v>
      </c>
    </row>
    <row r="4480" spans="1:4" ht="13.05" customHeight="1" x14ac:dyDescent="0.3">
      <c r="A4480" s="2" t="s">
        <v>710</v>
      </c>
      <c r="B4480" s="2" t="s">
        <v>1199</v>
      </c>
      <c r="C4480" s="5" t="s">
        <v>1019</v>
      </c>
      <c r="D4480" s="2" t="s">
        <v>1020</v>
      </c>
    </row>
    <row r="4481" spans="1:4" ht="13.05" customHeight="1" x14ac:dyDescent="0.3">
      <c r="A4481" s="2" t="s">
        <v>710</v>
      </c>
      <c r="B4481" s="2" t="s">
        <v>1199</v>
      </c>
      <c r="C4481" s="5" t="s">
        <v>1021</v>
      </c>
      <c r="D4481" s="2" t="s">
        <v>890</v>
      </c>
    </row>
    <row r="4482" spans="1:4" ht="13.05" customHeight="1" x14ac:dyDescent="0.3">
      <c r="A4482" s="2" t="s">
        <v>710</v>
      </c>
      <c r="B4482" s="2" t="s">
        <v>1199</v>
      </c>
      <c r="C4482" s="5" t="s">
        <v>1023</v>
      </c>
      <c r="D4482" s="2" t="s">
        <v>6137</v>
      </c>
    </row>
    <row r="4483" spans="1:4" ht="13.05" customHeight="1" x14ac:dyDescent="0.3">
      <c r="A4483" s="2" t="s">
        <v>710</v>
      </c>
      <c r="B4483" s="2" t="s">
        <v>1199</v>
      </c>
      <c r="C4483" s="5" t="s">
        <v>1025</v>
      </c>
      <c r="D4483" s="2" t="s">
        <v>6116</v>
      </c>
    </row>
    <row r="4484" spans="1:4" ht="13.05" customHeight="1" x14ac:dyDescent="0.3">
      <c r="A4484" s="2" t="s">
        <v>710</v>
      </c>
      <c r="B4484" s="2" t="s">
        <v>1199</v>
      </c>
      <c r="C4484" s="5" t="s">
        <v>1027</v>
      </c>
      <c r="D4484" s="2" t="s">
        <v>6117</v>
      </c>
    </row>
    <row r="4485" spans="1:4" ht="13.05" customHeight="1" x14ac:dyDescent="0.3">
      <c r="A4485" s="2" t="s">
        <v>710</v>
      </c>
      <c r="B4485" s="2" t="s">
        <v>1199</v>
      </c>
      <c r="C4485" s="5" t="s">
        <v>1029</v>
      </c>
      <c r="D4485" s="2" t="s">
        <v>6138</v>
      </c>
    </row>
    <row r="4486" spans="1:4" ht="13.05" customHeight="1" x14ac:dyDescent="0.3">
      <c r="A4486" s="2" t="s">
        <v>710</v>
      </c>
      <c r="B4486" s="2" t="s">
        <v>1199</v>
      </c>
      <c r="C4486" s="5" t="s">
        <v>1031</v>
      </c>
      <c r="D4486" s="2" t="s">
        <v>6139</v>
      </c>
    </row>
    <row r="4487" spans="1:4" ht="13.05" customHeight="1" x14ac:dyDescent="0.3">
      <c r="A4487" s="2" t="s">
        <v>710</v>
      </c>
      <c r="B4487" s="2" t="s">
        <v>1199</v>
      </c>
      <c r="C4487" s="5" t="s">
        <v>1040</v>
      </c>
      <c r="D4487" s="2" t="s">
        <v>6140</v>
      </c>
    </row>
    <row r="4488" spans="1:4" ht="13.05" customHeight="1" x14ac:dyDescent="0.3">
      <c r="A4488" s="2" t="s">
        <v>710</v>
      </c>
      <c r="B4488" s="2" t="s">
        <v>1199</v>
      </c>
      <c r="C4488" s="5" t="s">
        <v>1042</v>
      </c>
      <c r="D4488" s="2" t="s">
        <v>6141</v>
      </c>
    </row>
    <row r="4489" spans="1:4" ht="13.05" customHeight="1" x14ac:dyDescent="0.3">
      <c r="A4489" s="2" t="s">
        <v>710</v>
      </c>
      <c r="B4489" s="2" t="s">
        <v>1199</v>
      </c>
      <c r="C4489" s="5" t="s">
        <v>1061</v>
      </c>
      <c r="D4489" s="2" t="s">
        <v>6142</v>
      </c>
    </row>
    <row r="4490" spans="1:4" ht="13.05" customHeight="1" x14ac:dyDescent="0.3">
      <c r="A4490" s="2" t="s">
        <v>710</v>
      </c>
      <c r="B4490" s="2" t="s">
        <v>1199</v>
      </c>
      <c r="C4490" s="5" t="s">
        <v>1063</v>
      </c>
      <c r="D4490" s="2" t="s">
        <v>6143</v>
      </c>
    </row>
    <row r="4491" spans="1:4" ht="13.05" customHeight="1" x14ac:dyDescent="0.3">
      <c r="A4491" s="2" t="s">
        <v>710</v>
      </c>
      <c r="B4491" s="2" t="s">
        <v>1199</v>
      </c>
      <c r="C4491" s="5" t="s">
        <v>1065</v>
      </c>
      <c r="D4491" s="2" t="s">
        <v>6144</v>
      </c>
    </row>
    <row r="4492" spans="1:4" ht="13.05" customHeight="1" x14ac:dyDescent="0.3">
      <c r="A4492" s="2" t="s">
        <v>710</v>
      </c>
      <c r="B4492" s="2" t="s">
        <v>1199</v>
      </c>
      <c r="C4492" s="5" t="s">
        <v>1067</v>
      </c>
      <c r="D4492" s="2" t="s">
        <v>6124</v>
      </c>
    </row>
    <row r="4493" spans="1:4" ht="13.05" customHeight="1" x14ac:dyDescent="0.3">
      <c r="A4493" s="2" t="s">
        <v>710</v>
      </c>
      <c r="B4493" s="2" t="s">
        <v>1199</v>
      </c>
      <c r="C4493" s="5" t="s">
        <v>1069</v>
      </c>
      <c r="D4493" s="2" t="s">
        <v>6145</v>
      </c>
    </row>
    <row r="4494" spans="1:4" ht="13.05" customHeight="1" x14ac:dyDescent="0.3">
      <c r="A4494" s="2" t="s">
        <v>710</v>
      </c>
      <c r="B4494" s="2" t="s">
        <v>1199</v>
      </c>
      <c r="C4494" s="5" t="s">
        <v>1071</v>
      </c>
      <c r="D4494" s="2" t="s">
        <v>6126</v>
      </c>
    </row>
    <row r="4495" spans="1:4" ht="13.05" customHeight="1" x14ac:dyDescent="0.3">
      <c r="A4495" s="2" t="s">
        <v>710</v>
      </c>
      <c r="B4495" s="2" t="s">
        <v>1199</v>
      </c>
      <c r="C4495" s="5" t="s">
        <v>1073</v>
      </c>
      <c r="D4495" s="2" t="s">
        <v>6127</v>
      </c>
    </row>
    <row r="4496" spans="1:4" ht="13.05" customHeight="1" x14ac:dyDescent="0.3">
      <c r="A4496" s="2" t="s">
        <v>710</v>
      </c>
      <c r="B4496" s="2" t="s">
        <v>1199</v>
      </c>
      <c r="C4496" s="5" t="s">
        <v>1075</v>
      </c>
      <c r="D4496" s="2" t="s">
        <v>6146</v>
      </c>
    </row>
    <row r="4497" spans="1:4" ht="13.05" customHeight="1" x14ac:dyDescent="0.3">
      <c r="A4497" s="2" t="s">
        <v>710</v>
      </c>
      <c r="B4497" s="2" t="s">
        <v>1199</v>
      </c>
      <c r="C4497" s="5" t="s">
        <v>1077</v>
      </c>
      <c r="D4497" s="2" t="s">
        <v>6147</v>
      </c>
    </row>
    <row r="4498" spans="1:4" ht="13.05" customHeight="1" x14ac:dyDescent="0.3">
      <c r="A4498" s="2" t="s">
        <v>710</v>
      </c>
      <c r="B4498" s="2" t="s">
        <v>1199</v>
      </c>
      <c r="C4498" s="5" t="s">
        <v>1079</v>
      </c>
      <c r="D4498" s="2" t="s">
        <v>1048</v>
      </c>
    </row>
    <row r="4499" spans="1:4" ht="13.05" customHeight="1" x14ac:dyDescent="0.3">
      <c r="A4499" s="2" t="s">
        <v>710</v>
      </c>
      <c r="B4499" s="2" t="s">
        <v>1199</v>
      </c>
      <c r="C4499" s="5" t="s">
        <v>1081</v>
      </c>
      <c r="D4499" s="2" t="s">
        <v>6148</v>
      </c>
    </row>
    <row r="4500" spans="1:4" ht="13.05" customHeight="1" x14ac:dyDescent="0.3">
      <c r="A4500" s="2" t="s">
        <v>710</v>
      </c>
      <c r="B4500" s="2" t="s">
        <v>1199</v>
      </c>
      <c r="C4500" s="5" t="s">
        <v>1222</v>
      </c>
      <c r="D4500" s="2" t="s">
        <v>6132</v>
      </c>
    </row>
    <row r="4501" spans="1:4" ht="13.05" customHeight="1" x14ac:dyDescent="0.3">
      <c r="A4501" s="2" t="s">
        <v>710</v>
      </c>
      <c r="B4501" s="2" t="s">
        <v>1199</v>
      </c>
      <c r="C4501" s="5" t="s">
        <v>1052</v>
      </c>
      <c r="D4501" s="2" t="s">
        <v>6149</v>
      </c>
    </row>
    <row r="4502" spans="1:4" ht="13.05" customHeight="1" x14ac:dyDescent="0.3">
      <c r="A4502" s="2" t="s">
        <v>712</v>
      </c>
      <c r="B4502" s="2" t="s">
        <v>1199</v>
      </c>
      <c r="C4502" s="5" t="s">
        <v>1044</v>
      </c>
      <c r="D4502" s="2" t="s">
        <v>1045</v>
      </c>
    </row>
    <row r="4503" spans="1:4" ht="13.05" customHeight="1" x14ac:dyDescent="0.3">
      <c r="A4503" s="2" t="s">
        <v>712</v>
      </c>
      <c r="B4503" s="2" t="s">
        <v>1199</v>
      </c>
      <c r="C4503" s="5" t="s">
        <v>1015</v>
      </c>
      <c r="D4503" s="2" t="s">
        <v>1092</v>
      </c>
    </row>
    <row r="4504" spans="1:4" ht="13.05" customHeight="1" x14ac:dyDescent="0.3">
      <c r="A4504" s="2" t="s">
        <v>712</v>
      </c>
      <c r="B4504" s="2" t="s">
        <v>1199</v>
      </c>
      <c r="C4504" s="5" t="s">
        <v>1017</v>
      </c>
      <c r="D4504" s="2" t="s">
        <v>1086</v>
      </c>
    </row>
    <row r="4505" spans="1:4" ht="13.05" customHeight="1" x14ac:dyDescent="0.3">
      <c r="A4505" s="2" t="s">
        <v>712</v>
      </c>
      <c r="B4505" s="2" t="s">
        <v>1199</v>
      </c>
      <c r="C4505" s="5" t="s">
        <v>1019</v>
      </c>
      <c r="D4505" s="2" t="s">
        <v>1020</v>
      </c>
    </row>
    <row r="4506" spans="1:4" ht="13.05" customHeight="1" x14ac:dyDescent="0.3">
      <c r="A4506" s="2" t="s">
        <v>712</v>
      </c>
      <c r="B4506" s="2" t="s">
        <v>1199</v>
      </c>
      <c r="C4506" s="5" t="s">
        <v>1021</v>
      </c>
      <c r="D4506" s="2" t="s">
        <v>890</v>
      </c>
    </row>
    <row r="4507" spans="1:4" ht="13.05" customHeight="1" x14ac:dyDescent="0.3">
      <c r="A4507" s="2" t="s">
        <v>712</v>
      </c>
      <c r="B4507" s="2" t="s">
        <v>1199</v>
      </c>
      <c r="C4507" s="5" t="s">
        <v>1023</v>
      </c>
      <c r="D4507" s="2" t="s">
        <v>6137</v>
      </c>
    </row>
    <row r="4508" spans="1:4" ht="13.05" customHeight="1" x14ac:dyDescent="0.3">
      <c r="A4508" s="2" t="s">
        <v>712</v>
      </c>
      <c r="B4508" s="2" t="s">
        <v>1199</v>
      </c>
      <c r="C4508" s="5" t="s">
        <v>1025</v>
      </c>
      <c r="D4508" s="2" t="s">
        <v>6116</v>
      </c>
    </row>
    <row r="4509" spans="1:4" ht="13.05" customHeight="1" x14ac:dyDescent="0.3">
      <c r="A4509" s="2" t="s">
        <v>712</v>
      </c>
      <c r="B4509" s="2" t="s">
        <v>1199</v>
      </c>
      <c r="C4509" s="5" t="s">
        <v>1027</v>
      </c>
      <c r="D4509" s="2" t="s">
        <v>6117</v>
      </c>
    </row>
    <row r="4510" spans="1:4" ht="13.05" customHeight="1" x14ac:dyDescent="0.3">
      <c r="A4510" s="2" t="s">
        <v>712</v>
      </c>
      <c r="B4510" s="2" t="s">
        <v>1199</v>
      </c>
      <c r="C4510" s="5" t="s">
        <v>1029</v>
      </c>
      <c r="D4510" s="2" t="s">
        <v>6138</v>
      </c>
    </row>
    <row r="4511" spans="1:4" ht="13.05" customHeight="1" x14ac:dyDescent="0.3">
      <c r="A4511" s="2" t="s">
        <v>712</v>
      </c>
      <c r="B4511" s="2" t="s">
        <v>1199</v>
      </c>
      <c r="C4511" s="5" t="s">
        <v>1031</v>
      </c>
      <c r="D4511" s="2" t="s">
        <v>6139</v>
      </c>
    </row>
    <row r="4512" spans="1:4" ht="13.05" customHeight="1" x14ac:dyDescent="0.3">
      <c r="A4512" s="2" t="s">
        <v>712</v>
      </c>
      <c r="B4512" s="2" t="s">
        <v>1199</v>
      </c>
      <c r="C4512" s="5" t="s">
        <v>1040</v>
      </c>
      <c r="D4512" s="2" t="s">
        <v>6140</v>
      </c>
    </row>
    <row r="4513" spans="1:4" ht="13.05" customHeight="1" x14ac:dyDescent="0.3">
      <c r="A4513" s="2" t="s">
        <v>712</v>
      </c>
      <c r="B4513" s="2" t="s">
        <v>1199</v>
      </c>
      <c r="C4513" s="5" t="s">
        <v>1042</v>
      </c>
      <c r="D4513" s="2" t="s">
        <v>6141</v>
      </c>
    </row>
    <row r="4514" spans="1:4" ht="13.05" customHeight="1" x14ac:dyDescent="0.3">
      <c r="A4514" s="2" t="s">
        <v>712</v>
      </c>
      <c r="B4514" s="2" t="s">
        <v>1199</v>
      </c>
      <c r="C4514" s="5" t="s">
        <v>1061</v>
      </c>
      <c r="D4514" s="2" t="s">
        <v>6142</v>
      </c>
    </row>
    <row r="4515" spans="1:4" ht="13.05" customHeight="1" x14ac:dyDescent="0.3">
      <c r="A4515" s="2" t="s">
        <v>712</v>
      </c>
      <c r="B4515" s="2" t="s">
        <v>1199</v>
      </c>
      <c r="C4515" s="5" t="s">
        <v>1063</v>
      </c>
      <c r="D4515" s="2" t="s">
        <v>6143</v>
      </c>
    </row>
    <row r="4516" spans="1:4" ht="13.05" customHeight="1" x14ac:dyDescent="0.3">
      <c r="A4516" s="2" t="s">
        <v>712</v>
      </c>
      <c r="B4516" s="2" t="s">
        <v>1199</v>
      </c>
      <c r="C4516" s="5" t="s">
        <v>1065</v>
      </c>
      <c r="D4516" s="2" t="s">
        <v>6144</v>
      </c>
    </row>
    <row r="4517" spans="1:4" ht="13.05" customHeight="1" x14ac:dyDescent="0.3">
      <c r="A4517" s="2" t="s">
        <v>712</v>
      </c>
      <c r="B4517" s="2" t="s">
        <v>1199</v>
      </c>
      <c r="C4517" s="5" t="s">
        <v>1067</v>
      </c>
      <c r="D4517" s="2" t="s">
        <v>6124</v>
      </c>
    </row>
    <row r="4518" spans="1:4" ht="13.05" customHeight="1" x14ac:dyDescent="0.3">
      <c r="A4518" s="2" t="s">
        <v>712</v>
      </c>
      <c r="B4518" s="2" t="s">
        <v>1199</v>
      </c>
      <c r="C4518" s="5" t="s">
        <v>1069</v>
      </c>
      <c r="D4518" s="2" t="s">
        <v>6145</v>
      </c>
    </row>
    <row r="4519" spans="1:4" ht="13.05" customHeight="1" x14ac:dyDescent="0.3">
      <c r="A4519" s="2" t="s">
        <v>712</v>
      </c>
      <c r="B4519" s="2" t="s">
        <v>1199</v>
      </c>
      <c r="C4519" s="5" t="s">
        <v>1071</v>
      </c>
      <c r="D4519" s="2" t="s">
        <v>6126</v>
      </c>
    </row>
    <row r="4520" spans="1:4" ht="13.05" customHeight="1" x14ac:dyDescent="0.3">
      <c r="A4520" s="2" t="s">
        <v>712</v>
      </c>
      <c r="B4520" s="2" t="s">
        <v>1199</v>
      </c>
      <c r="C4520" s="5" t="s">
        <v>1073</v>
      </c>
      <c r="D4520" s="2" t="s">
        <v>6127</v>
      </c>
    </row>
    <row r="4521" spans="1:4" ht="13.05" customHeight="1" x14ac:dyDescent="0.3">
      <c r="A4521" s="2" t="s">
        <v>712</v>
      </c>
      <c r="B4521" s="2" t="s">
        <v>1199</v>
      </c>
      <c r="C4521" s="5" t="s">
        <v>1075</v>
      </c>
      <c r="D4521" s="2" t="s">
        <v>6146</v>
      </c>
    </row>
    <row r="4522" spans="1:4" ht="13.05" customHeight="1" x14ac:dyDescent="0.3">
      <c r="A4522" s="2" t="s">
        <v>712</v>
      </c>
      <c r="B4522" s="2" t="s">
        <v>1199</v>
      </c>
      <c r="C4522" s="5" t="s">
        <v>1077</v>
      </c>
      <c r="D4522" s="2" t="s">
        <v>6147</v>
      </c>
    </row>
    <row r="4523" spans="1:4" ht="13.05" customHeight="1" x14ac:dyDescent="0.3">
      <c r="A4523" s="2" t="s">
        <v>712</v>
      </c>
      <c r="B4523" s="2" t="s">
        <v>1199</v>
      </c>
      <c r="C4523" s="5" t="s">
        <v>1079</v>
      </c>
      <c r="D4523" s="2" t="s">
        <v>1048</v>
      </c>
    </row>
    <row r="4524" spans="1:4" ht="13.05" customHeight="1" x14ac:dyDescent="0.3">
      <c r="A4524" s="2" t="s">
        <v>712</v>
      </c>
      <c r="B4524" s="2" t="s">
        <v>1199</v>
      </c>
      <c r="C4524" s="5" t="s">
        <v>1081</v>
      </c>
      <c r="D4524" s="2" t="s">
        <v>6148</v>
      </c>
    </row>
    <row r="4525" spans="1:4" ht="13.05" customHeight="1" x14ac:dyDescent="0.3">
      <c r="A4525" s="2" t="s">
        <v>712</v>
      </c>
      <c r="B4525" s="2" t="s">
        <v>1199</v>
      </c>
      <c r="C4525" s="5" t="s">
        <v>1222</v>
      </c>
      <c r="D4525" s="2" t="s">
        <v>6132</v>
      </c>
    </row>
    <row r="4526" spans="1:4" ht="13.05" customHeight="1" x14ac:dyDescent="0.3">
      <c r="A4526" s="2" t="s">
        <v>712</v>
      </c>
      <c r="B4526" s="2" t="s">
        <v>1199</v>
      </c>
      <c r="C4526" s="5" t="s">
        <v>1052</v>
      </c>
      <c r="D4526" s="2" t="s">
        <v>6149</v>
      </c>
    </row>
    <row r="4527" spans="1:4" ht="13.05" customHeight="1" x14ac:dyDescent="0.3">
      <c r="A4527" s="2" t="s">
        <v>714</v>
      </c>
      <c r="B4527" s="2" t="s">
        <v>1199</v>
      </c>
      <c r="C4527" s="5" t="s">
        <v>1044</v>
      </c>
      <c r="D4527" s="2" t="s">
        <v>1045</v>
      </c>
    </row>
    <row r="4528" spans="1:4" ht="13.05" customHeight="1" x14ac:dyDescent="0.3">
      <c r="A4528" s="2" t="s">
        <v>714</v>
      </c>
      <c r="B4528" s="2" t="s">
        <v>1199</v>
      </c>
      <c r="C4528" s="5" t="s">
        <v>1015</v>
      </c>
      <c r="D4528" s="2" t="s">
        <v>1092</v>
      </c>
    </row>
    <row r="4529" spans="1:4" ht="13.05" customHeight="1" x14ac:dyDescent="0.3">
      <c r="A4529" s="2" t="s">
        <v>714</v>
      </c>
      <c r="B4529" s="2" t="s">
        <v>1199</v>
      </c>
      <c r="C4529" s="5" t="s">
        <v>1017</v>
      </c>
      <c r="D4529" s="2" t="s">
        <v>1086</v>
      </c>
    </row>
    <row r="4530" spans="1:4" ht="13.05" customHeight="1" x14ac:dyDescent="0.3">
      <c r="A4530" s="2" t="s">
        <v>714</v>
      </c>
      <c r="B4530" s="2" t="s">
        <v>1199</v>
      </c>
      <c r="C4530" s="5" t="s">
        <v>1019</v>
      </c>
      <c r="D4530" s="2" t="s">
        <v>1020</v>
      </c>
    </row>
    <row r="4531" spans="1:4" ht="13.05" customHeight="1" x14ac:dyDescent="0.3">
      <c r="A4531" s="2" t="s">
        <v>714</v>
      </c>
      <c r="B4531" s="2" t="s">
        <v>1199</v>
      </c>
      <c r="C4531" s="5" t="s">
        <v>1021</v>
      </c>
      <c r="D4531" s="2" t="s">
        <v>890</v>
      </c>
    </row>
    <row r="4532" spans="1:4" ht="13.05" customHeight="1" x14ac:dyDescent="0.3">
      <c r="A4532" s="2" t="s">
        <v>714</v>
      </c>
      <c r="B4532" s="2" t="s">
        <v>1199</v>
      </c>
      <c r="C4532" s="5" t="s">
        <v>1023</v>
      </c>
      <c r="D4532" s="2" t="s">
        <v>6137</v>
      </c>
    </row>
    <row r="4533" spans="1:4" ht="13.05" customHeight="1" x14ac:dyDescent="0.3">
      <c r="A4533" s="2" t="s">
        <v>714</v>
      </c>
      <c r="B4533" s="2" t="s">
        <v>1199</v>
      </c>
      <c r="C4533" s="5" t="s">
        <v>1025</v>
      </c>
      <c r="D4533" s="2" t="s">
        <v>6116</v>
      </c>
    </row>
    <row r="4534" spans="1:4" ht="13.05" customHeight="1" x14ac:dyDescent="0.3">
      <c r="A4534" s="2" t="s">
        <v>714</v>
      </c>
      <c r="B4534" s="2" t="s">
        <v>1199</v>
      </c>
      <c r="C4534" s="5" t="s">
        <v>1027</v>
      </c>
      <c r="D4534" s="2" t="s">
        <v>6117</v>
      </c>
    </row>
    <row r="4535" spans="1:4" ht="13.05" customHeight="1" x14ac:dyDescent="0.3">
      <c r="A4535" s="2" t="s">
        <v>714</v>
      </c>
      <c r="B4535" s="2" t="s">
        <v>1199</v>
      </c>
      <c r="C4535" s="5" t="s">
        <v>1029</v>
      </c>
      <c r="D4535" s="2" t="s">
        <v>6138</v>
      </c>
    </row>
    <row r="4536" spans="1:4" ht="13.05" customHeight="1" x14ac:dyDescent="0.3">
      <c r="A4536" s="2" t="s">
        <v>714</v>
      </c>
      <c r="B4536" s="2" t="s">
        <v>1199</v>
      </c>
      <c r="C4536" s="5" t="s">
        <v>1031</v>
      </c>
      <c r="D4536" s="2" t="s">
        <v>6139</v>
      </c>
    </row>
    <row r="4537" spans="1:4" ht="13.05" customHeight="1" x14ac:dyDescent="0.3">
      <c r="A4537" s="2" t="s">
        <v>714</v>
      </c>
      <c r="B4537" s="2" t="s">
        <v>1199</v>
      </c>
      <c r="C4537" s="5" t="s">
        <v>1040</v>
      </c>
      <c r="D4537" s="2" t="s">
        <v>6140</v>
      </c>
    </row>
    <row r="4538" spans="1:4" ht="13.05" customHeight="1" x14ac:dyDescent="0.3">
      <c r="A4538" s="2" t="s">
        <v>714</v>
      </c>
      <c r="B4538" s="2" t="s">
        <v>1199</v>
      </c>
      <c r="C4538" s="5" t="s">
        <v>1042</v>
      </c>
      <c r="D4538" s="2" t="s">
        <v>6141</v>
      </c>
    </row>
    <row r="4539" spans="1:4" ht="13.05" customHeight="1" x14ac:dyDescent="0.3">
      <c r="A4539" s="2" t="s">
        <v>714</v>
      </c>
      <c r="B4539" s="2" t="s">
        <v>1199</v>
      </c>
      <c r="C4539" s="5" t="s">
        <v>1061</v>
      </c>
      <c r="D4539" s="2" t="s">
        <v>6142</v>
      </c>
    </row>
    <row r="4540" spans="1:4" ht="13.05" customHeight="1" x14ac:dyDescent="0.3">
      <c r="A4540" s="2" t="s">
        <v>714</v>
      </c>
      <c r="B4540" s="2" t="s">
        <v>1199</v>
      </c>
      <c r="C4540" s="5" t="s">
        <v>1063</v>
      </c>
      <c r="D4540" s="2" t="s">
        <v>6143</v>
      </c>
    </row>
    <row r="4541" spans="1:4" ht="13.05" customHeight="1" x14ac:dyDescent="0.3">
      <c r="A4541" s="2" t="s">
        <v>714</v>
      </c>
      <c r="B4541" s="2" t="s">
        <v>1199</v>
      </c>
      <c r="C4541" s="5" t="s">
        <v>1065</v>
      </c>
      <c r="D4541" s="2" t="s">
        <v>6144</v>
      </c>
    </row>
    <row r="4542" spans="1:4" ht="13.05" customHeight="1" x14ac:dyDescent="0.3">
      <c r="A4542" s="2" t="s">
        <v>714</v>
      </c>
      <c r="B4542" s="2" t="s">
        <v>1199</v>
      </c>
      <c r="C4542" s="5" t="s">
        <v>1067</v>
      </c>
      <c r="D4542" s="2" t="s">
        <v>6124</v>
      </c>
    </row>
    <row r="4543" spans="1:4" ht="13.05" customHeight="1" x14ac:dyDescent="0.3">
      <c r="A4543" s="2" t="s">
        <v>714</v>
      </c>
      <c r="B4543" s="2" t="s">
        <v>1199</v>
      </c>
      <c r="C4543" s="5" t="s">
        <v>1069</v>
      </c>
      <c r="D4543" s="2" t="s">
        <v>6145</v>
      </c>
    </row>
    <row r="4544" spans="1:4" ht="13.05" customHeight="1" x14ac:dyDescent="0.3">
      <c r="A4544" s="2" t="s">
        <v>714</v>
      </c>
      <c r="B4544" s="2" t="s">
        <v>1199</v>
      </c>
      <c r="C4544" s="5" t="s">
        <v>1071</v>
      </c>
      <c r="D4544" s="2" t="s">
        <v>6126</v>
      </c>
    </row>
    <row r="4545" spans="1:4" ht="13.05" customHeight="1" x14ac:dyDescent="0.3">
      <c r="A4545" s="2" t="s">
        <v>714</v>
      </c>
      <c r="B4545" s="2" t="s">
        <v>1199</v>
      </c>
      <c r="C4545" s="5" t="s">
        <v>1073</v>
      </c>
      <c r="D4545" s="2" t="s">
        <v>6127</v>
      </c>
    </row>
    <row r="4546" spans="1:4" ht="13.05" customHeight="1" x14ac:dyDescent="0.3">
      <c r="A4546" s="2" t="s">
        <v>714</v>
      </c>
      <c r="B4546" s="2" t="s">
        <v>1199</v>
      </c>
      <c r="C4546" s="5" t="s">
        <v>1075</v>
      </c>
      <c r="D4546" s="2" t="s">
        <v>6146</v>
      </c>
    </row>
    <row r="4547" spans="1:4" ht="13.05" customHeight="1" x14ac:dyDescent="0.3">
      <c r="A4547" s="2" t="s">
        <v>714</v>
      </c>
      <c r="B4547" s="2" t="s">
        <v>1199</v>
      </c>
      <c r="C4547" s="5" t="s">
        <v>1077</v>
      </c>
      <c r="D4547" s="2" t="s">
        <v>6147</v>
      </c>
    </row>
    <row r="4548" spans="1:4" ht="13.05" customHeight="1" x14ac:dyDescent="0.3">
      <c r="A4548" s="2" t="s">
        <v>714</v>
      </c>
      <c r="B4548" s="2" t="s">
        <v>1199</v>
      </c>
      <c r="C4548" s="5" t="s">
        <v>1079</v>
      </c>
      <c r="D4548" s="2" t="s">
        <v>1048</v>
      </c>
    </row>
    <row r="4549" spans="1:4" ht="13.05" customHeight="1" x14ac:dyDescent="0.3">
      <c r="A4549" s="2" t="s">
        <v>714</v>
      </c>
      <c r="B4549" s="2" t="s">
        <v>1199</v>
      </c>
      <c r="C4549" s="5" t="s">
        <v>1081</v>
      </c>
      <c r="D4549" s="2" t="s">
        <v>6148</v>
      </c>
    </row>
    <row r="4550" spans="1:4" ht="13.05" customHeight="1" x14ac:dyDescent="0.3">
      <c r="A4550" s="2" t="s">
        <v>714</v>
      </c>
      <c r="B4550" s="2" t="s">
        <v>1199</v>
      </c>
      <c r="C4550" s="5" t="s">
        <v>1222</v>
      </c>
      <c r="D4550" s="2" t="s">
        <v>6132</v>
      </c>
    </row>
    <row r="4551" spans="1:4" ht="13.05" customHeight="1" x14ac:dyDescent="0.3">
      <c r="A4551" s="2" t="s">
        <v>714</v>
      </c>
      <c r="B4551" s="2" t="s">
        <v>1199</v>
      </c>
      <c r="C4551" s="5" t="s">
        <v>1052</v>
      </c>
      <c r="D4551" s="2" t="s">
        <v>6149</v>
      </c>
    </row>
    <row r="4552" spans="1:4" ht="13.05" customHeight="1" x14ac:dyDescent="0.3">
      <c r="A4552" s="2" t="s">
        <v>716</v>
      </c>
      <c r="B4552" s="2" t="s">
        <v>1199</v>
      </c>
      <c r="C4552" s="5" t="s">
        <v>1044</v>
      </c>
      <c r="D4552" s="2" t="s">
        <v>1045</v>
      </c>
    </row>
    <row r="4553" spans="1:4" ht="13.05" customHeight="1" x14ac:dyDescent="0.3">
      <c r="A4553" s="2" t="s">
        <v>716</v>
      </c>
      <c r="B4553" s="2" t="s">
        <v>1199</v>
      </c>
      <c r="C4553" s="5" t="s">
        <v>1015</v>
      </c>
      <c r="D4553" s="2" t="s">
        <v>1092</v>
      </c>
    </row>
    <row r="4554" spans="1:4" ht="13.05" customHeight="1" x14ac:dyDescent="0.3">
      <c r="A4554" s="2" t="s">
        <v>716</v>
      </c>
      <c r="B4554" s="2" t="s">
        <v>1199</v>
      </c>
      <c r="C4554" s="5" t="s">
        <v>1017</v>
      </c>
      <c r="D4554" s="2" t="s">
        <v>1086</v>
      </c>
    </row>
    <row r="4555" spans="1:4" ht="13.05" customHeight="1" x14ac:dyDescent="0.3">
      <c r="A4555" s="2" t="s">
        <v>716</v>
      </c>
      <c r="B4555" s="2" t="s">
        <v>1199</v>
      </c>
      <c r="C4555" s="5" t="s">
        <v>1019</v>
      </c>
      <c r="D4555" s="2" t="s">
        <v>1020</v>
      </c>
    </row>
    <row r="4556" spans="1:4" ht="13.05" customHeight="1" x14ac:dyDescent="0.3">
      <c r="A4556" s="2" t="s">
        <v>716</v>
      </c>
      <c r="B4556" s="2" t="s">
        <v>1199</v>
      </c>
      <c r="C4556" s="5" t="s">
        <v>1021</v>
      </c>
      <c r="D4556" s="2" t="s">
        <v>890</v>
      </c>
    </row>
    <row r="4557" spans="1:4" ht="13.05" customHeight="1" x14ac:dyDescent="0.3">
      <c r="A4557" s="2" t="s">
        <v>716</v>
      </c>
      <c r="B4557" s="2" t="s">
        <v>1199</v>
      </c>
      <c r="C4557" s="5" t="s">
        <v>1023</v>
      </c>
      <c r="D4557" s="2" t="s">
        <v>6137</v>
      </c>
    </row>
    <row r="4558" spans="1:4" ht="13.05" customHeight="1" x14ac:dyDescent="0.3">
      <c r="A4558" s="2" t="s">
        <v>716</v>
      </c>
      <c r="B4558" s="2" t="s">
        <v>1199</v>
      </c>
      <c r="C4558" s="5" t="s">
        <v>1025</v>
      </c>
      <c r="D4558" s="2" t="s">
        <v>6116</v>
      </c>
    </row>
    <row r="4559" spans="1:4" ht="13.05" customHeight="1" x14ac:dyDescent="0.3">
      <c r="A4559" s="2" t="s">
        <v>716</v>
      </c>
      <c r="B4559" s="2" t="s">
        <v>1199</v>
      </c>
      <c r="C4559" s="5" t="s">
        <v>1027</v>
      </c>
      <c r="D4559" s="2" t="s">
        <v>6117</v>
      </c>
    </row>
    <row r="4560" spans="1:4" ht="13.05" customHeight="1" x14ac:dyDescent="0.3">
      <c r="A4560" s="2" t="s">
        <v>716</v>
      </c>
      <c r="B4560" s="2" t="s">
        <v>1199</v>
      </c>
      <c r="C4560" s="5" t="s">
        <v>1029</v>
      </c>
      <c r="D4560" s="2" t="s">
        <v>6138</v>
      </c>
    </row>
    <row r="4561" spans="1:4" ht="13.05" customHeight="1" x14ac:dyDescent="0.3">
      <c r="A4561" s="2" t="s">
        <v>716</v>
      </c>
      <c r="B4561" s="2" t="s">
        <v>1199</v>
      </c>
      <c r="C4561" s="5" t="s">
        <v>1031</v>
      </c>
      <c r="D4561" s="2" t="s">
        <v>6139</v>
      </c>
    </row>
    <row r="4562" spans="1:4" ht="13.05" customHeight="1" x14ac:dyDescent="0.3">
      <c r="A4562" s="2" t="s">
        <v>716</v>
      </c>
      <c r="B4562" s="2" t="s">
        <v>1199</v>
      </c>
      <c r="C4562" s="5" t="s">
        <v>1040</v>
      </c>
      <c r="D4562" s="2" t="s">
        <v>6140</v>
      </c>
    </row>
    <row r="4563" spans="1:4" ht="13.05" customHeight="1" x14ac:dyDescent="0.3">
      <c r="A4563" s="2" t="s">
        <v>716</v>
      </c>
      <c r="B4563" s="2" t="s">
        <v>1199</v>
      </c>
      <c r="C4563" s="5" t="s">
        <v>1042</v>
      </c>
      <c r="D4563" s="2" t="s">
        <v>6141</v>
      </c>
    </row>
    <row r="4564" spans="1:4" ht="13.05" customHeight="1" x14ac:dyDescent="0.3">
      <c r="A4564" s="2" t="s">
        <v>716</v>
      </c>
      <c r="B4564" s="2" t="s">
        <v>1199</v>
      </c>
      <c r="C4564" s="5" t="s">
        <v>1061</v>
      </c>
      <c r="D4564" s="2" t="s">
        <v>6142</v>
      </c>
    </row>
    <row r="4565" spans="1:4" ht="13.05" customHeight="1" x14ac:dyDescent="0.3">
      <c r="A4565" s="2" t="s">
        <v>716</v>
      </c>
      <c r="B4565" s="2" t="s">
        <v>1199</v>
      </c>
      <c r="C4565" s="5" t="s">
        <v>1063</v>
      </c>
      <c r="D4565" s="2" t="s">
        <v>6143</v>
      </c>
    </row>
    <row r="4566" spans="1:4" ht="13.05" customHeight="1" x14ac:dyDescent="0.3">
      <c r="A4566" s="2" t="s">
        <v>716</v>
      </c>
      <c r="B4566" s="2" t="s">
        <v>1199</v>
      </c>
      <c r="C4566" s="5" t="s">
        <v>1065</v>
      </c>
      <c r="D4566" s="2" t="s">
        <v>6144</v>
      </c>
    </row>
    <row r="4567" spans="1:4" ht="13.05" customHeight="1" x14ac:dyDescent="0.3">
      <c r="A4567" s="2" t="s">
        <v>716</v>
      </c>
      <c r="B4567" s="2" t="s">
        <v>1199</v>
      </c>
      <c r="C4567" s="5" t="s">
        <v>1067</v>
      </c>
      <c r="D4567" s="2" t="s">
        <v>6124</v>
      </c>
    </row>
    <row r="4568" spans="1:4" ht="13.05" customHeight="1" x14ac:dyDescent="0.3">
      <c r="A4568" s="2" t="s">
        <v>716</v>
      </c>
      <c r="B4568" s="2" t="s">
        <v>1199</v>
      </c>
      <c r="C4568" s="5" t="s">
        <v>1069</v>
      </c>
      <c r="D4568" s="2" t="s">
        <v>6145</v>
      </c>
    </row>
    <row r="4569" spans="1:4" ht="13.05" customHeight="1" x14ac:dyDescent="0.3">
      <c r="A4569" s="2" t="s">
        <v>716</v>
      </c>
      <c r="B4569" s="2" t="s">
        <v>1199</v>
      </c>
      <c r="C4569" s="5" t="s">
        <v>1071</v>
      </c>
      <c r="D4569" s="2" t="s">
        <v>6126</v>
      </c>
    </row>
    <row r="4570" spans="1:4" ht="13.05" customHeight="1" x14ac:dyDescent="0.3">
      <c r="A4570" s="2" t="s">
        <v>716</v>
      </c>
      <c r="B4570" s="2" t="s">
        <v>1199</v>
      </c>
      <c r="C4570" s="5" t="s">
        <v>1073</v>
      </c>
      <c r="D4570" s="2" t="s">
        <v>6127</v>
      </c>
    </row>
    <row r="4571" spans="1:4" ht="13.05" customHeight="1" x14ac:dyDescent="0.3">
      <c r="A4571" s="2" t="s">
        <v>716</v>
      </c>
      <c r="B4571" s="2" t="s">
        <v>1199</v>
      </c>
      <c r="C4571" s="5" t="s">
        <v>1075</v>
      </c>
      <c r="D4571" s="2" t="s">
        <v>6146</v>
      </c>
    </row>
    <row r="4572" spans="1:4" ht="13.05" customHeight="1" x14ac:dyDescent="0.3">
      <c r="A4572" s="2" t="s">
        <v>716</v>
      </c>
      <c r="B4572" s="2" t="s">
        <v>1199</v>
      </c>
      <c r="C4572" s="5" t="s">
        <v>1077</v>
      </c>
      <c r="D4572" s="2" t="s">
        <v>6147</v>
      </c>
    </row>
    <row r="4573" spans="1:4" ht="13.05" customHeight="1" x14ac:dyDescent="0.3">
      <c r="A4573" s="2" t="s">
        <v>716</v>
      </c>
      <c r="B4573" s="2" t="s">
        <v>1199</v>
      </c>
      <c r="C4573" s="5" t="s">
        <v>1079</v>
      </c>
      <c r="D4573" s="2" t="s">
        <v>1048</v>
      </c>
    </row>
    <row r="4574" spans="1:4" ht="13.05" customHeight="1" x14ac:dyDescent="0.3">
      <c r="A4574" s="2" t="s">
        <v>716</v>
      </c>
      <c r="B4574" s="2" t="s">
        <v>1199</v>
      </c>
      <c r="C4574" s="5" t="s">
        <v>1081</v>
      </c>
      <c r="D4574" s="2" t="s">
        <v>6148</v>
      </c>
    </row>
    <row r="4575" spans="1:4" ht="13.05" customHeight="1" x14ac:dyDescent="0.3">
      <c r="A4575" s="2" t="s">
        <v>716</v>
      </c>
      <c r="B4575" s="2" t="s">
        <v>1199</v>
      </c>
      <c r="C4575" s="5" t="s">
        <v>1222</v>
      </c>
      <c r="D4575" s="2" t="s">
        <v>6132</v>
      </c>
    </row>
    <row r="4576" spans="1:4" ht="13.05" customHeight="1" x14ac:dyDescent="0.3">
      <c r="A4576" s="2" t="s">
        <v>716</v>
      </c>
      <c r="B4576" s="2" t="s">
        <v>1199</v>
      </c>
      <c r="C4576" s="5" t="s">
        <v>1052</v>
      </c>
      <c r="D4576" s="2" t="s">
        <v>6149</v>
      </c>
    </row>
    <row r="4577" spans="1:4" ht="13.05" customHeight="1" x14ac:dyDescent="0.3">
      <c r="A4577" s="2" t="s">
        <v>718</v>
      </c>
      <c r="B4577" s="2" t="s">
        <v>1199</v>
      </c>
      <c r="C4577" s="5" t="s">
        <v>1044</v>
      </c>
      <c r="D4577" s="2" t="s">
        <v>1045</v>
      </c>
    </row>
    <row r="4578" spans="1:4" ht="13.05" customHeight="1" x14ac:dyDescent="0.3">
      <c r="A4578" s="2" t="s">
        <v>718</v>
      </c>
      <c r="B4578" s="2" t="s">
        <v>1199</v>
      </c>
      <c r="C4578" s="5" t="s">
        <v>1015</v>
      </c>
      <c r="D4578" s="2" t="s">
        <v>1092</v>
      </c>
    </row>
    <row r="4579" spans="1:4" ht="13.05" customHeight="1" x14ac:dyDescent="0.3">
      <c r="A4579" s="2" t="s">
        <v>718</v>
      </c>
      <c r="B4579" s="2" t="s">
        <v>1199</v>
      </c>
      <c r="C4579" s="5" t="s">
        <v>1017</v>
      </c>
      <c r="D4579" s="2" t="s">
        <v>1086</v>
      </c>
    </row>
    <row r="4580" spans="1:4" ht="13.05" customHeight="1" x14ac:dyDescent="0.3">
      <c r="A4580" s="2" t="s">
        <v>718</v>
      </c>
      <c r="B4580" s="2" t="s">
        <v>1199</v>
      </c>
      <c r="C4580" s="5" t="s">
        <v>1019</v>
      </c>
      <c r="D4580" s="2" t="s">
        <v>1020</v>
      </c>
    </row>
    <row r="4581" spans="1:4" ht="13.05" customHeight="1" x14ac:dyDescent="0.3">
      <c r="A4581" s="2" t="s">
        <v>718</v>
      </c>
      <c r="B4581" s="2" t="s">
        <v>1199</v>
      </c>
      <c r="C4581" s="5" t="s">
        <v>1021</v>
      </c>
      <c r="D4581" s="2" t="s">
        <v>890</v>
      </c>
    </row>
    <row r="4582" spans="1:4" ht="13.05" customHeight="1" x14ac:dyDescent="0.3">
      <c r="A4582" s="2" t="s">
        <v>718</v>
      </c>
      <c r="B4582" s="2" t="s">
        <v>1199</v>
      </c>
      <c r="C4582" s="5" t="s">
        <v>1023</v>
      </c>
      <c r="D4582" s="2" t="s">
        <v>6137</v>
      </c>
    </row>
    <row r="4583" spans="1:4" ht="13.05" customHeight="1" x14ac:dyDescent="0.3">
      <c r="A4583" s="2" t="s">
        <v>718</v>
      </c>
      <c r="B4583" s="2" t="s">
        <v>1199</v>
      </c>
      <c r="C4583" s="5" t="s">
        <v>1025</v>
      </c>
      <c r="D4583" s="2" t="s">
        <v>6116</v>
      </c>
    </row>
    <row r="4584" spans="1:4" ht="13.05" customHeight="1" x14ac:dyDescent="0.3">
      <c r="A4584" s="2" t="s">
        <v>718</v>
      </c>
      <c r="B4584" s="2" t="s">
        <v>1199</v>
      </c>
      <c r="C4584" s="5" t="s">
        <v>1027</v>
      </c>
      <c r="D4584" s="2" t="s">
        <v>6117</v>
      </c>
    </row>
    <row r="4585" spans="1:4" ht="13.05" customHeight="1" x14ac:dyDescent="0.3">
      <c r="A4585" s="2" t="s">
        <v>718</v>
      </c>
      <c r="B4585" s="2" t="s">
        <v>1199</v>
      </c>
      <c r="C4585" s="5" t="s">
        <v>1029</v>
      </c>
      <c r="D4585" s="2" t="s">
        <v>6138</v>
      </c>
    </row>
    <row r="4586" spans="1:4" ht="13.05" customHeight="1" x14ac:dyDescent="0.3">
      <c r="A4586" s="2" t="s">
        <v>718</v>
      </c>
      <c r="B4586" s="2" t="s">
        <v>1199</v>
      </c>
      <c r="C4586" s="5" t="s">
        <v>1031</v>
      </c>
      <c r="D4586" s="2" t="s">
        <v>6139</v>
      </c>
    </row>
    <row r="4587" spans="1:4" ht="13.05" customHeight="1" x14ac:dyDescent="0.3">
      <c r="A4587" s="2" t="s">
        <v>718</v>
      </c>
      <c r="B4587" s="2" t="s">
        <v>1199</v>
      </c>
      <c r="C4587" s="5" t="s">
        <v>1040</v>
      </c>
      <c r="D4587" s="2" t="s">
        <v>6140</v>
      </c>
    </row>
    <row r="4588" spans="1:4" ht="13.05" customHeight="1" x14ac:dyDescent="0.3">
      <c r="A4588" s="2" t="s">
        <v>718</v>
      </c>
      <c r="B4588" s="2" t="s">
        <v>1199</v>
      </c>
      <c r="C4588" s="5" t="s">
        <v>1042</v>
      </c>
      <c r="D4588" s="2" t="s">
        <v>6141</v>
      </c>
    </row>
    <row r="4589" spans="1:4" ht="13.05" customHeight="1" x14ac:dyDescent="0.3">
      <c r="A4589" s="2" t="s">
        <v>718</v>
      </c>
      <c r="B4589" s="2" t="s">
        <v>1199</v>
      </c>
      <c r="C4589" s="5" t="s">
        <v>1061</v>
      </c>
      <c r="D4589" s="2" t="s">
        <v>6142</v>
      </c>
    </row>
    <row r="4590" spans="1:4" ht="13.05" customHeight="1" x14ac:dyDescent="0.3">
      <c r="A4590" s="2" t="s">
        <v>718</v>
      </c>
      <c r="B4590" s="2" t="s">
        <v>1199</v>
      </c>
      <c r="C4590" s="5" t="s">
        <v>1063</v>
      </c>
      <c r="D4590" s="2" t="s">
        <v>6143</v>
      </c>
    </row>
    <row r="4591" spans="1:4" ht="13.05" customHeight="1" x14ac:dyDescent="0.3">
      <c r="A4591" s="2" t="s">
        <v>718</v>
      </c>
      <c r="B4591" s="2" t="s">
        <v>1199</v>
      </c>
      <c r="C4591" s="5" t="s">
        <v>1065</v>
      </c>
      <c r="D4591" s="2" t="s">
        <v>6144</v>
      </c>
    </row>
    <row r="4592" spans="1:4" ht="13.05" customHeight="1" x14ac:dyDescent="0.3">
      <c r="A4592" s="2" t="s">
        <v>718</v>
      </c>
      <c r="B4592" s="2" t="s">
        <v>1199</v>
      </c>
      <c r="C4592" s="5" t="s">
        <v>1067</v>
      </c>
      <c r="D4592" s="2" t="s">
        <v>6124</v>
      </c>
    </row>
    <row r="4593" spans="1:4" ht="13.05" customHeight="1" x14ac:dyDescent="0.3">
      <c r="A4593" s="2" t="s">
        <v>718</v>
      </c>
      <c r="B4593" s="2" t="s">
        <v>1199</v>
      </c>
      <c r="C4593" s="5" t="s">
        <v>1069</v>
      </c>
      <c r="D4593" s="2" t="s">
        <v>6145</v>
      </c>
    </row>
    <row r="4594" spans="1:4" ht="13.05" customHeight="1" x14ac:dyDescent="0.3">
      <c r="A4594" s="2" t="s">
        <v>718</v>
      </c>
      <c r="B4594" s="2" t="s">
        <v>1199</v>
      </c>
      <c r="C4594" s="5" t="s">
        <v>1071</v>
      </c>
      <c r="D4594" s="2" t="s">
        <v>6126</v>
      </c>
    </row>
    <row r="4595" spans="1:4" ht="13.05" customHeight="1" x14ac:dyDescent="0.3">
      <c r="A4595" s="2" t="s">
        <v>718</v>
      </c>
      <c r="B4595" s="2" t="s">
        <v>1199</v>
      </c>
      <c r="C4595" s="5" t="s">
        <v>1073</v>
      </c>
      <c r="D4595" s="2" t="s">
        <v>6127</v>
      </c>
    </row>
    <row r="4596" spans="1:4" ht="13.05" customHeight="1" x14ac:dyDescent="0.3">
      <c r="A4596" s="2" t="s">
        <v>718</v>
      </c>
      <c r="B4596" s="2" t="s">
        <v>1199</v>
      </c>
      <c r="C4596" s="5" t="s">
        <v>1075</v>
      </c>
      <c r="D4596" s="2" t="s">
        <v>6146</v>
      </c>
    </row>
    <row r="4597" spans="1:4" ht="13.05" customHeight="1" x14ac:dyDescent="0.3">
      <c r="A4597" s="2" t="s">
        <v>718</v>
      </c>
      <c r="B4597" s="2" t="s">
        <v>1199</v>
      </c>
      <c r="C4597" s="5" t="s">
        <v>1077</v>
      </c>
      <c r="D4597" s="2" t="s">
        <v>6147</v>
      </c>
    </row>
    <row r="4598" spans="1:4" ht="13.05" customHeight="1" x14ac:dyDescent="0.3">
      <c r="A4598" s="2" t="s">
        <v>718</v>
      </c>
      <c r="B4598" s="2" t="s">
        <v>1199</v>
      </c>
      <c r="C4598" s="5" t="s">
        <v>1079</v>
      </c>
      <c r="D4598" s="2" t="s">
        <v>1048</v>
      </c>
    </row>
    <row r="4599" spans="1:4" ht="13.05" customHeight="1" x14ac:dyDescent="0.3">
      <c r="A4599" s="2" t="s">
        <v>718</v>
      </c>
      <c r="B4599" s="2" t="s">
        <v>1199</v>
      </c>
      <c r="C4599" s="5" t="s">
        <v>1081</v>
      </c>
      <c r="D4599" s="2" t="s">
        <v>6148</v>
      </c>
    </row>
    <row r="4600" spans="1:4" ht="13.05" customHeight="1" x14ac:dyDescent="0.3">
      <c r="A4600" s="2" t="s">
        <v>718</v>
      </c>
      <c r="B4600" s="2" t="s">
        <v>1199</v>
      </c>
      <c r="C4600" s="5" t="s">
        <v>1222</v>
      </c>
      <c r="D4600" s="2" t="s">
        <v>6132</v>
      </c>
    </row>
    <row r="4601" spans="1:4" ht="13.05" customHeight="1" x14ac:dyDescent="0.3">
      <c r="A4601" s="2" t="s">
        <v>718</v>
      </c>
      <c r="B4601" s="2" t="s">
        <v>1199</v>
      </c>
      <c r="C4601" s="5" t="s">
        <v>1052</v>
      </c>
      <c r="D4601" s="2" t="s">
        <v>6149</v>
      </c>
    </row>
    <row r="4602" spans="1:4" ht="13.05" customHeight="1" x14ac:dyDescent="0.3">
      <c r="A4602" s="2" t="s">
        <v>720</v>
      </c>
      <c r="B4602" s="2" t="s">
        <v>1199</v>
      </c>
      <c r="C4602" s="5" t="s">
        <v>1044</v>
      </c>
      <c r="D4602" s="2" t="s">
        <v>1045</v>
      </c>
    </row>
    <row r="4603" spans="1:4" ht="13.05" customHeight="1" x14ac:dyDescent="0.3">
      <c r="A4603" s="2" t="s">
        <v>720</v>
      </c>
      <c r="B4603" s="2" t="s">
        <v>1199</v>
      </c>
      <c r="C4603" s="5" t="s">
        <v>1015</v>
      </c>
      <c r="D4603" s="2" t="s">
        <v>1092</v>
      </c>
    </row>
    <row r="4604" spans="1:4" ht="13.05" customHeight="1" x14ac:dyDescent="0.3">
      <c r="A4604" s="2" t="s">
        <v>720</v>
      </c>
      <c r="B4604" s="2" t="s">
        <v>1199</v>
      </c>
      <c r="C4604" s="5" t="s">
        <v>1017</v>
      </c>
      <c r="D4604" s="2" t="s">
        <v>1086</v>
      </c>
    </row>
    <row r="4605" spans="1:4" ht="13.05" customHeight="1" x14ac:dyDescent="0.3">
      <c r="A4605" s="2" t="s">
        <v>720</v>
      </c>
      <c r="B4605" s="2" t="s">
        <v>1199</v>
      </c>
      <c r="C4605" s="5" t="s">
        <v>1019</v>
      </c>
      <c r="D4605" s="2" t="s">
        <v>1020</v>
      </c>
    </row>
    <row r="4606" spans="1:4" ht="13.05" customHeight="1" x14ac:dyDescent="0.3">
      <c r="A4606" s="2" t="s">
        <v>720</v>
      </c>
      <c r="B4606" s="2" t="s">
        <v>1199</v>
      </c>
      <c r="C4606" s="5" t="s">
        <v>1021</v>
      </c>
      <c r="D4606" s="2" t="s">
        <v>890</v>
      </c>
    </row>
    <row r="4607" spans="1:4" ht="13.05" customHeight="1" x14ac:dyDescent="0.3">
      <c r="A4607" s="2" t="s">
        <v>720</v>
      </c>
      <c r="B4607" s="2" t="s">
        <v>1199</v>
      </c>
      <c r="C4607" s="5" t="s">
        <v>1023</v>
      </c>
      <c r="D4607" s="2" t="s">
        <v>6137</v>
      </c>
    </row>
    <row r="4608" spans="1:4" ht="13.05" customHeight="1" x14ac:dyDescent="0.3">
      <c r="A4608" s="2" t="s">
        <v>720</v>
      </c>
      <c r="B4608" s="2" t="s">
        <v>1199</v>
      </c>
      <c r="C4608" s="5" t="s">
        <v>1025</v>
      </c>
      <c r="D4608" s="2" t="s">
        <v>6116</v>
      </c>
    </row>
    <row r="4609" spans="1:4" ht="13.05" customHeight="1" x14ac:dyDescent="0.3">
      <c r="A4609" s="2" t="s">
        <v>720</v>
      </c>
      <c r="B4609" s="2" t="s">
        <v>1199</v>
      </c>
      <c r="C4609" s="5" t="s">
        <v>1027</v>
      </c>
      <c r="D4609" s="2" t="s">
        <v>6117</v>
      </c>
    </row>
    <row r="4610" spans="1:4" ht="13.05" customHeight="1" x14ac:dyDescent="0.3">
      <c r="A4610" s="2" t="s">
        <v>720</v>
      </c>
      <c r="B4610" s="2" t="s">
        <v>1199</v>
      </c>
      <c r="C4610" s="5" t="s">
        <v>1029</v>
      </c>
      <c r="D4610" s="2" t="s">
        <v>6138</v>
      </c>
    </row>
    <row r="4611" spans="1:4" ht="13.05" customHeight="1" x14ac:dyDescent="0.3">
      <c r="A4611" s="2" t="s">
        <v>720</v>
      </c>
      <c r="B4611" s="2" t="s">
        <v>1199</v>
      </c>
      <c r="C4611" s="5" t="s">
        <v>1031</v>
      </c>
      <c r="D4611" s="2" t="s">
        <v>6139</v>
      </c>
    </row>
    <row r="4612" spans="1:4" ht="13.05" customHeight="1" x14ac:dyDescent="0.3">
      <c r="A4612" s="2" t="s">
        <v>720</v>
      </c>
      <c r="B4612" s="2" t="s">
        <v>1199</v>
      </c>
      <c r="C4612" s="5" t="s">
        <v>1040</v>
      </c>
      <c r="D4612" s="2" t="s">
        <v>6140</v>
      </c>
    </row>
    <row r="4613" spans="1:4" ht="13.05" customHeight="1" x14ac:dyDescent="0.3">
      <c r="A4613" s="2" t="s">
        <v>720</v>
      </c>
      <c r="B4613" s="2" t="s">
        <v>1199</v>
      </c>
      <c r="C4613" s="5" t="s">
        <v>1042</v>
      </c>
      <c r="D4613" s="2" t="s">
        <v>6141</v>
      </c>
    </row>
    <row r="4614" spans="1:4" ht="13.05" customHeight="1" x14ac:dyDescent="0.3">
      <c r="A4614" s="2" t="s">
        <v>720</v>
      </c>
      <c r="B4614" s="2" t="s">
        <v>1199</v>
      </c>
      <c r="C4614" s="5" t="s">
        <v>1061</v>
      </c>
      <c r="D4614" s="2" t="s">
        <v>6142</v>
      </c>
    </row>
    <row r="4615" spans="1:4" ht="13.05" customHeight="1" x14ac:dyDescent="0.3">
      <c r="A4615" s="2" t="s">
        <v>720</v>
      </c>
      <c r="B4615" s="2" t="s">
        <v>1199</v>
      </c>
      <c r="C4615" s="5" t="s">
        <v>1063</v>
      </c>
      <c r="D4615" s="2" t="s">
        <v>6143</v>
      </c>
    </row>
    <row r="4616" spans="1:4" ht="13.05" customHeight="1" x14ac:dyDescent="0.3">
      <c r="A4616" s="2" t="s">
        <v>720</v>
      </c>
      <c r="B4616" s="2" t="s">
        <v>1199</v>
      </c>
      <c r="C4616" s="5" t="s">
        <v>1065</v>
      </c>
      <c r="D4616" s="2" t="s">
        <v>6144</v>
      </c>
    </row>
    <row r="4617" spans="1:4" ht="13.05" customHeight="1" x14ac:dyDescent="0.3">
      <c r="A4617" s="2" t="s">
        <v>720</v>
      </c>
      <c r="B4617" s="2" t="s">
        <v>1199</v>
      </c>
      <c r="C4617" s="5" t="s">
        <v>1067</v>
      </c>
      <c r="D4617" s="2" t="s">
        <v>6124</v>
      </c>
    </row>
    <row r="4618" spans="1:4" ht="13.05" customHeight="1" x14ac:dyDescent="0.3">
      <c r="A4618" s="2" t="s">
        <v>720</v>
      </c>
      <c r="B4618" s="2" t="s">
        <v>1199</v>
      </c>
      <c r="C4618" s="5" t="s">
        <v>1069</v>
      </c>
      <c r="D4618" s="2" t="s">
        <v>6145</v>
      </c>
    </row>
    <row r="4619" spans="1:4" ht="13.05" customHeight="1" x14ac:dyDescent="0.3">
      <c r="A4619" s="2" t="s">
        <v>720</v>
      </c>
      <c r="B4619" s="2" t="s">
        <v>1199</v>
      </c>
      <c r="C4619" s="5" t="s">
        <v>1071</v>
      </c>
      <c r="D4619" s="2" t="s">
        <v>6126</v>
      </c>
    </row>
    <row r="4620" spans="1:4" ht="13.05" customHeight="1" x14ac:dyDescent="0.3">
      <c r="A4620" s="2" t="s">
        <v>720</v>
      </c>
      <c r="B4620" s="2" t="s">
        <v>1199</v>
      </c>
      <c r="C4620" s="5" t="s">
        <v>1073</v>
      </c>
      <c r="D4620" s="2" t="s">
        <v>6127</v>
      </c>
    </row>
    <row r="4621" spans="1:4" ht="13.05" customHeight="1" x14ac:dyDescent="0.3">
      <c r="A4621" s="2" t="s">
        <v>720</v>
      </c>
      <c r="B4621" s="2" t="s">
        <v>1199</v>
      </c>
      <c r="C4621" s="5" t="s">
        <v>1075</v>
      </c>
      <c r="D4621" s="2" t="s">
        <v>6146</v>
      </c>
    </row>
    <row r="4622" spans="1:4" ht="13.05" customHeight="1" x14ac:dyDescent="0.3">
      <c r="A4622" s="2" t="s">
        <v>720</v>
      </c>
      <c r="B4622" s="2" t="s">
        <v>1199</v>
      </c>
      <c r="C4622" s="5" t="s">
        <v>1077</v>
      </c>
      <c r="D4622" s="2" t="s">
        <v>6147</v>
      </c>
    </row>
    <row r="4623" spans="1:4" ht="13.05" customHeight="1" x14ac:dyDescent="0.3">
      <c r="A4623" s="2" t="s">
        <v>720</v>
      </c>
      <c r="B4623" s="2" t="s">
        <v>1199</v>
      </c>
      <c r="C4623" s="5" t="s">
        <v>1079</v>
      </c>
      <c r="D4623" s="2" t="s">
        <v>1048</v>
      </c>
    </row>
    <row r="4624" spans="1:4" ht="13.05" customHeight="1" x14ac:dyDescent="0.3">
      <c r="A4624" s="2" t="s">
        <v>720</v>
      </c>
      <c r="B4624" s="2" t="s">
        <v>1199</v>
      </c>
      <c r="C4624" s="5" t="s">
        <v>1081</v>
      </c>
      <c r="D4624" s="2" t="s">
        <v>6148</v>
      </c>
    </row>
    <row r="4625" spans="1:4" ht="13.05" customHeight="1" x14ac:dyDescent="0.3">
      <c r="A4625" s="2" t="s">
        <v>720</v>
      </c>
      <c r="B4625" s="2" t="s">
        <v>1199</v>
      </c>
      <c r="C4625" s="5" t="s">
        <v>1222</v>
      </c>
      <c r="D4625" s="2" t="s">
        <v>6132</v>
      </c>
    </row>
    <row r="4626" spans="1:4" ht="13.05" customHeight="1" x14ac:dyDescent="0.3">
      <c r="A4626" s="2" t="s">
        <v>720</v>
      </c>
      <c r="B4626" s="2" t="s">
        <v>1199</v>
      </c>
      <c r="C4626" s="5" t="s">
        <v>1052</v>
      </c>
      <c r="D4626" s="2" t="s">
        <v>6149</v>
      </c>
    </row>
    <row r="4627" spans="1:4" ht="13.05" customHeight="1" x14ac:dyDescent="0.3">
      <c r="A4627" s="2" t="s">
        <v>722</v>
      </c>
      <c r="B4627" s="2" t="s">
        <v>1199</v>
      </c>
      <c r="C4627" s="5" t="s">
        <v>1044</v>
      </c>
      <c r="D4627" s="2" t="s">
        <v>1045</v>
      </c>
    </row>
    <row r="4628" spans="1:4" ht="13.05" customHeight="1" x14ac:dyDescent="0.3">
      <c r="A4628" s="2" t="s">
        <v>722</v>
      </c>
      <c r="B4628" s="2" t="s">
        <v>1199</v>
      </c>
      <c r="C4628" s="5" t="s">
        <v>1015</v>
      </c>
      <c r="D4628" s="2" t="s">
        <v>1092</v>
      </c>
    </row>
    <row r="4629" spans="1:4" ht="13.05" customHeight="1" x14ac:dyDescent="0.3">
      <c r="A4629" s="2" t="s">
        <v>722</v>
      </c>
      <c r="B4629" s="2" t="s">
        <v>1199</v>
      </c>
      <c r="C4629" s="5" t="s">
        <v>1017</v>
      </c>
      <c r="D4629" s="2" t="s">
        <v>1086</v>
      </c>
    </row>
    <row r="4630" spans="1:4" ht="13.05" customHeight="1" x14ac:dyDescent="0.3">
      <c r="A4630" s="2" t="s">
        <v>722</v>
      </c>
      <c r="B4630" s="2" t="s">
        <v>1199</v>
      </c>
      <c r="C4630" s="5" t="s">
        <v>1019</v>
      </c>
      <c r="D4630" s="2" t="s">
        <v>1020</v>
      </c>
    </row>
    <row r="4631" spans="1:4" ht="13.05" customHeight="1" x14ac:dyDescent="0.3">
      <c r="A4631" s="2" t="s">
        <v>722</v>
      </c>
      <c r="B4631" s="2" t="s">
        <v>1199</v>
      </c>
      <c r="C4631" s="5" t="s">
        <v>1021</v>
      </c>
      <c r="D4631" s="2" t="s">
        <v>890</v>
      </c>
    </row>
    <row r="4632" spans="1:4" ht="13.05" customHeight="1" x14ac:dyDescent="0.3">
      <c r="A4632" s="2" t="s">
        <v>722</v>
      </c>
      <c r="B4632" s="2" t="s">
        <v>1199</v>
      </c>
      <c r="C4632" s="5" t="s">
        <v>1023</v>
      </c>
      <c r="D4632" s="2" t="s">
        <v>6137</v>
      </c>
    </row>
    <row r="4633" spans="1:4" ht="13.05" customHeight="1" x14ac:dyDescent="0.3">
      <c r="A4633" s="2" t="s">
        <v>722</v>
      </c>
      <c r="B4633" s="2" t="s">
        <v>1199</v>
      </c>
      <c r="C4633" s="5" t="s">
        <v>1025</v>
      </c>
      <c r="D4633" s="2" t="s">
        <v>6116</v>
      </c>
    </row>
    <row r="4634" spans="1:4" ht="13.05" customHeight="1" x14ac:dyDescent="0.3">
      <c r="A4634" s="2" t="s">
        <v>722</v>
      </c>
      <c r="B4634" s="2" t="s">
        <v>1199</v>
      </c>
      <c r="C4634" s="5" t="s">
        <v>1027</v>
      </c>
      <c r="D4634" s="2" t="s">
        <v>6117</v>
      </c>
    </row>
    <row r="4635" spans="1:4" ht="13.05" customHeight="1" x14ac:dyDescent="0.3">
      <c r="A4635" s="2" t="s">
        <v>722</v>
      </c>
      <c r="B4635" s="2" t="s">
        <v>1199</v>
      </c>
      <c r="C4635" s="5" t="s">
        <v>1029</v>
      </c>
      <c r="D4635" s="2" t="s">
        <v>6138</v>
      </c>
    </row>
    <row r="4636" spans="1:4" ht="13.05" customHeight="1" x14ac:dyDescent="0.3">
      <c r="A4636" s="2" t="s">
        <v>722</v>
      </c>
      <c r="B4636" s="2" t="s">
        <v>1199</v>
      </c>
      <c r="C4636" s="5" t="s">
        <v>1031</v>
      </c>
      <c r="D4636" s="2" t="s">
        <v>6139</v>
      </c>
    </row>
    <row r="4637" spans="1:4" ht="13.05" customHeight="1" x14ac:dyDescent="0.3">
      <c r="A4637" s="2" t="s">
        <v>722</v>
      </c>
      <c r="B4637" s="2" t="s">
        <v>1199</v>
      </c>
      <c r="C4637" s="5" t="s">
        <v>1040</v>
      </c>
      <c r="D4637" s="2" t="s">
        <v>6140</v>
      </c>
    </row>
    <row r="4638" spans="1:4" ht="13.05" customHeight="1" x14ac:dyDescent="0.3">
      <c r="A4638" s="2" t="s">
        <v>722</v>
      </c>
      <c r="B4638" s="2" t="s">
        <v>1199</v>
      </c>
      <c r="C4638" s="5" t="s">
        <v>1042</v>
      </c>
      <c r="D4638" s="2" t="s">
        <v>6141</v>
      </c>
    </row>
    <row r="4639" spans="1:4" ht="13.05" customHeight="1" x14ac:dyDescent="0.3">
      <c r="A4639" s="2" t="s">
        <v>722</v>
      </c>
      <c r="B4639" s="2" t="s">
        <v>1199</v>
      </c>
      <c r="C4639" s="5" t="s">
        <v>1061</v>
      </c>
      <c r="D4639" s="2" t="s">
        <v>6142</v>
      </c>
    </row>
    <row r="4640" spans="1:4" ht="13.05" customHeight="1" x14ac:dyDescent="0.3">
      <c r="A4640" s="2" t="s">
        <v>722</v>
      </c>
      <c r="B4640" s="2" t="s">
        <v>1199</v>
      </c>
      <c r="C4640" s="5" t="s">
        <v>1063</v>
      </c>
      <c r="D4640" s="2" t="s">
        <v>6143</v>
      </c>
    </row>
    <row r="4641" spans="1:4" ht="13.05" customHeight="1" x14ac:dyDescent="0.3">
      <c r="A4641" s="2" t="s">
        <v>722</v>
      </c>
      <c r="B4641" s="2" t="s">
        <v>1199</v>
      </c>
      <c r="C4641" s="5" t="s">
        <v>1065</v>
      </c>
      <c r="D4641" s="2" t="s">
        <v>6144</v>
      </c>
    </row>
    <row r="4642" spans="1:4" ht="13.05" customHeight="1" x14ac:dyDescent="0.3">
      <c r="A4642" s="2" t="s">
        <v>722</v>
      </c>
      <c r="B4642" s="2" t="s">
        <v>1199</v>
      </c>
      <c r="C4642" s="5" t="s">
        <v>1067</v>
      </c>
      <c r="D4642" s="2" t="s">
        <v>6124</v>
      </c>
    </row>
    <row r="4643" spans="1:4" ht="13.05" customHeight="1" x14ac:dyDescent="0.3">
      <c r="A4643" s="2" t="s">
        <v>722</v>
      </c>
      <c r="B4643" s="2" t="s">
        <v>1199</v>
      </c>
      <c r="C4643" s="5" t="s">
        <v>1069</v>
      </c>
      <c r="D4643" s="2" t="s">
        <v>6145</v>
      </c>
    </row>
    <row r="4644" spans="1:4" ht="13.05" customHeight="1" x14ac:dyDescent="0.3">
      <c r="A4644" s="2" t="s">
        <v>722</v>
      </c>
      <c r="B4644" s="2" t="s">
        <v>1199</v>
      </c>
      <c r="C4644" s="5" t="s">
        <v>1071</v>
      </c>
      <c r="D4644" s="2" t="s">
        <v>6126</v>
      </c>
    </row>
    <row r="4645" spans="1:4" ht="13.05" customHeight="1" x14ac:dyDescent="0.3">
      <c r="A4645" s="2" t="s">
        <v>722</v>
      </c>
      <c r="B4645" s="2" t="s">
        <v>1199</v>
      </c>
      <c r="C4645" s="5" t="s">
        <v>1073</v>
      </c>
      <c r="D4645" s="2" t="s">
        <v>6127</v>
      </c>
    </row>
    <row r="4646" spans="1:4" ht="13.05" customHeight="1" x14ac:dyDescent="0.3">
      <c r="A4646" s="2" t="s">
        <v>722</v>
      </c>
      <c r="B4646" s="2" t="s">
        <v>1199</v>
      </c>
      <c r="C4646" s="5" t="s">
        <v>1075</v>
      </c>
      <c r="D4646" s="2" t="s">
        <v>6146</v>
      </c>
    </row>
    <row r="4647" spans="1:4" ht="13.05" customHeight="1" x14ac:dyDescent="0.3">
      <c r="A4647" s="2" t="s">
        <v>722</v>
      </c>
      <c r="B4647" s="2" t="s">
        <v>1199</v>
      </c>
      <c r="C4647" s="5" t="s">
        <v>1077</v>
      </c>
      <c r="D4647" s="2" t="s">
        <v>6147</v>
      </c>
    </row>
    <row r="4648" spans="1:4" ht="13.05" customHeight="1" x14ac:dyDescent="0.3">
      <c r="A4648" s="2" t="s">
        <v>722</v>
      </c>
      <c r="B4648" s="2" t="s">
        <v>1199</v>
      </c>
      <c r="C4648" s="5" t="s">
        <v>1079</v>
      </c>
      <c r="D4648" s="2" t="s">
        <v>1048</v>
      </c>
    </row>
    <row r="4649" spans="1:4" ht="13.05" customHeight="1" x14ac:dyDescent="0.3">
      <c r="A4649" s="2" t="s">
        <v>722</v>
      </c>
      <c r="B4649" s="2" t="s">
        <v>1199</v>
      </c>
      <c r="C4649" s="5" t="s">
        <v>1081</v>
      </c>
      <c r="D4649" s="2" t="s">
        <v>6148</v>
      </c>
    </row>
    <row r="4650" spans="1:4" ht="13.05" customHeight="1" x14ac:dyDescent="0.3">
      <c r="A4650" s="2" t="s">
        <v>722</v>
      </c>
      <c r="B4650" s="2" t="s">
        <v>1199</v>
      </c>
      <c r="C4650" s="5" t="s">
        <v>1222</v>
      </c>
      <c r="D4650" s="2" t="s">
        <v>6132</v>
      </c>
    </row>
    <row r="4651" spans="1:4" ht="13.05" customHeight="1" x14ac:dyDescent="0.3">
      <c r="A4651" s="2" t="s">
        <v>722</v>
      </c>
      <c r="B4651" s="2" t="s">
        <v>1199</v>
      </c>
      <c r="C4651" s="5" t="s">
        <v>1052</v>
      </c>
      <c r="D4651" s="2" t="s">
        <v>6149</v>
      </c>
    </row>
    <row r="4652" spans="1:4" ht="13.05" customHeight="1" x14ac:dyDescent="0.3">
      <c r="A4652" s="2" t="s">
        <v>724</v>
      </c>
      <c r="B4652" s="2" t="s">
        <v>1199</v>
      </c>
      <c r="C4652" s="5" t="s">
        <v>1044</v>
      </c>
      <c r="D4652" s="2" t="s">
        <v>1045</v>
      </c>
    </row>
    <row r="4653" spans="1:4" ht="13.05" customHeight="1" x14ac:dyDescent="0.3">
      <c r="A4653" s="2" t="s">
        <v>724</v>
      </c>
      <c r="B4653" s="2" t="s">
        <v>1199</v>
      </c>
      <c r="C4653" s="5" t="s">
        <v>1015</v>
      </c>
      <c r="D4653" s="2" t="s">
        <v>1092</v>
      </c>
    </row>
    <row r="4654" spans="1:4" ht="13.05" customHeight="1" x14ac:dyDescent="0.3">
      <c r="A4654" s="2" t="s">
        <v>724</v>
      </c>
      <c r="B4654" s="2" t="s">
        <v>1199</v>
      </c>
      <c r="C4654" s="5" t="s">
        <v>1017</v>
      </c>
      <c r="D4654" s="2" t="s">
        <v>1086</v>
      </c>
    </row>
    <row r="4655" spans="1:4" ht="13.05" customHeight="1" x14ac:dyDescent="0.3">
      <c r="A4655" s="2" t="s">
        <v>724</v>
      </c>
      <c r="B4655" s="2" t="s">
        <v>1199</v>
      </c>
      <c r="C4655" s="5" t="s">
        <v>1019</v>
      </c>
      <c r="D4655" s="2" t="s">
        <v>1020</v>
      </c>
    </row>
    <row r="4656" spans="1:4" ht="13.05" customHeight="1" x14ac:dyDescent="0.3">
      <c r="A4656" s="2" t="s">
        <v>724</v>
      </c>
      <c r="B4656" s="2" t="s">
        <v>1199</v>
      </c>
      <c r="C4656" s="5" t="s">
        <v>1021</v>
      </c>
      <c r="D4656" s="2" t="s">
        <v>890</v>
      </c>
    </row>
    <row r="4657" spans="1:4" ht="13.05" customHeight="1" x14ac:dyDescent="0.3">
      <c r="A4657" s="2" t="s">
        <v>724</v>
      </c>
      <c r="B4657" s="2" t="s">
        <v>1199</v>
      </c>
      <c r="C4657" s="5" t="s">
        <v>1023</v>
      </c>
      <c r="D4657" s="2" t="s">
        <v>6137</v>
      </c>
    </row>
    <row r="4658" spans="1:4" ht="13.05" customHeight="1" x14ac:dyDescent="0.3">
      <c r="A4658" s="2" t="s">
        <v>724</v>
      </c>
      <c r="B4658" s="2" t="s">
        <v>1199</v>
      </c>
      <c r="C4658" s="5" t="s">
        <v>1025</v>
      </c>
      <c r="D4658" s="2" t="s">
        <v>6116</v>
      </c>
    </row>
    <row r="4659" spans="1:4" ht="13.05" customHeight="1" x14ac:dyDescent="0.3">
      <c r="A4659" s="2" t="s">
        <v>724</v>
      </c>
      <c r="B4659" s="2" t="s">
        <v>1199</v>
      </c>
      <c r="C4659" s="5" t="s">
        <v>1027</v>
      </c>
      <c r="D4659" s="2" t="s">
        <v>6117</v>
      </c>
    </row>
    <row r="4660" spans="1:4" ht="13.05" customHeight="1" x14ac:dyDescent="0.3">
      <c r="A4660" s="2" t="s">
        <v>724</v>
      </c>
      <c r="B4660" s="2" t="s">
        <v>1199</v>
      </c>
      <c r="C4660" s="5" t="s">
        <v>1029</v>
      </c>
      <c r="D4660" s="2" t="s">
        <v>6138</v>
      </c>
    </row>
    <row r="4661" spans="1:4" ht="13.05" customHeight="1" x14ac:dyDescent="0.3">
      <c r="A4661" s="2" t="s">
        <v>724</v>
      </c>
      <c r="B4661" s="2" t="s">
        <v>1199</v>
      </c>
      <c r="C4661" s="5" t="s">
        <v>1031</v>
      </c>
      <c r="D4661" s="2" t="s">
        <v>6139</v>
      </c>
    </row>
    <row r="4662" spans="1:4" ht="13.05" customHeight="1" x14ac:dyDescent="0.3">
      <c r="A4662" s="2" t="s">
        <v>724</v>
      </c>
      <c r="B4662" s="2" t="s">
        <v>1199</v>
      </c>
      <c r="C4662" s="5" t="s">
        <v>1040</v>
      </c>
      <c r="D4662" s="2" t="s">
        <v>6140</v>
      </c>
    </row>
    <row r="4663" spans="1:4" ht="13.05" customHeight="1" x14ac:dyDescent="0.3">
      <c r="A4663" s="2" t="s">
        <v>724</v>
      </c>
      <c r="B4663" s="2" t="s">
        <v>1199</v>
      </c>
      <c r="C4663" s="5" t="s">
        <v>1042</v>
      </c>
      <c r="D4663" s="2" t="s">
        <v>6141</v>
      </c>
    </row>
    <row r="4664" spans="1:4" ht="13.05" customHeight="1" x14ac:dyDescent="0.3">
      <c r="A4664" s="2" t="s">
        <v>724</v>
      </c>
      <c r="B4664" s="2" t="s">
        <v>1199</v>
      </c>
      <c r="C4664" s="5" t="s">
        <v>1061</v>
      </c>
      <c r="D4664" s="2" t="s">
        <v>6142</v>
      </c>
    </row>
    <row r="4665" spans="1:4" ht="13.05" customHeight="1" x14ac:dyDescent="0.3">
      <c r="A4665" s="2" t="s">
        <v>724</v>
      </c>
      <c r="B4665" s="2" t="s">
        <v>1199</v>
      </c>
      <c r="C4665" s="5" t="s">
        <v>1063</v>
      </c>
      <c r="D4665" s="2" t="s">
        <v>6143</v>
      </c>
    </row>
    <row r="4666" spans="1:4" ht="13.05" customHeight="1" x14ac:dyDescent="0.3">
      <c r="A4666" s="2" t="s">
        <v>724</v>
      </c>
      <c r="B4666" s="2" t="s">
        <v>1199</v>
      </c>
      <c r="C4666" s="5" t="s">
        <v>1065</v>
      </c>
      <c r="D4666" s="2" t="s">
        <v>6144</v>
      </c>
    </row>
    <row r="4667" spans="1:4" ht="13.05" customHeight="1" x14ac:dyDescent="0.3">
      <c r="A4667" s="2" t="s">
        <v>724</v>
      </c>
      <c r="B4667" s="2" t="s">
        <v>1199</v>
      </c>
      <c r="C4667" s="5" t="s">
        <v>1067</v>
      </c>
      <c r="D4667" s="2" t="s">
        <v>6124</v>
      </c>
    </row>
    <row r="4668" spans="1:4" ht="13.05" customHeight="1" x14ac:dyDescent="0.3">
      <c r="A4668" s="2" t="s">
        <v>724</v>
      </c>
      <c r="B4668" s="2" t="s">
        <v>1199</v>
      </c>
      <c r="C4668" s="5" t="s">
        <v>1069</v>
      </c>
      <c r="D4668" s="2" t="s">
        <v>6145</v>
      </c>
    </row>
    <row r="4669" spans="1:4" ht="13.05" customHeight="1" x14ac:dyDescent="0.3">
      <c r="A4669" s="2" t="s">
        <v>724</v>
      </c>
      <c r="B4669" s="2" t="s">
        <v>1199</v>
      </c>
      <c r="C4669" s="5" t="s">
        <v>1071</v>
      </c>
      <c r="D4669" s="2" t="s">
        <v>6126</v>
      </c>
    </row>
    <row r="4670" spans="1:4" ht="13.05" customHeight="1" x14ac:dyDescent="0.3">
      <c r="A4670" s="2" t="s">
        <v>724</v>
      </c>
      <c r="B4670" s="2" t="s">
        <v>1199</v>
      </c>
      <c r="C4670" s="5" t="s">
        <v>1073</v>
      </c>
      <c r="D4670" s="2" t="s">
        <v>6127</v>
      </c>
    </row>
    <row r="4671" spans="1:4" ht="13.05" customHeight="1" x14ac:dyDescent="0.3">
      <c r="A4671" s="2" t="s">
        <v>724</v>
      </c>
      <c r="B4671" s="2" t="s">
        <v>1199</v>
      </c>
      <c r="C4671" s="5" t="s">
        <v>1075</v>
      </c>
      <c r="D4671" s="2" t="s">
        <v>6146</v>
      </c>
    </row>
    <row r="4672" spans="1:4" ht="13.05" customHeight="1" x14ac:dyDescent="0.3">
      <c r="A4672" s="2" t="s">
        <v>724</v>
      </c>
      <c r="B4672" s="2" t="s">
        <v>1199</v>
      </c>
      <c r="C4672" s="5" t="s">
        <v>1077</v>
      </c>
      <c r="D4672" s="2" t="s">
        <v>6147</v>
      </c>
    </row>
    <row r="4673" spans="1:4" ht="13.05" customHeight="1" x14ac:dyDescent="0.3">
      <c r="A4673" s="2" t="s">
        <v>724</v>
      </c>
      <c r="B4673" s="2" t="s">
        <v>1199</v>
      </c>
      <c r="C4673" s="5" t="s">
        <v>1079</v>
      </c>
      <c r="D4673" s="2" t="s">
        <v>1048</v>
      </c>
    </row>
    <row r="4674" spans="1:4" ht="13.05" customHeight="1" x14ac:dyDescent="0.3">
      <c r="A4674" s="2" t="s">
        <v>724</v>
      </c>
      <c r="B4674" s="2" t="s">
        <v>1199</v>
      </c>
      <c r="C4674" s="5" t="s">
        <v>1081</v>
      </c>
      <c r="D4674" s="2" t="s">
        <v>6148</v>
      </c>
    </row>
    <row r="4675" spans="1:4" ht="13.05" customHeight="1" x14ac:dyDescent="0.3">
      <c r="A4675" s="2" t="s">
        <v>724</v>
      </c>
      <c r="B4675" s="2" t="s">
        <v>1199</v>
      </c>
      <c r="C4675" s="5" t="s">
        <v>1222</v>
      </c>
      <c r="D4675" s="2" t="s">
        <v>6132</v>
      </c>
    </row>
    <row r="4676" spans="1:4" ht="13.05" customHeight="1" x14ac:dyDescent="0.3">
      <c r="A4676" s="2" t="s">
        <v>724</v>
      </c>
      <c r="B4676" s="2" t="s">
        <v>1199</v>
      </c>
      <c r="C4676" s="5" t="s">
        <v>1052</v>
      </c>
      <c r="D4676" s="2" t="s">
        <v>6149</v>
      </c>
    </row>
    <row r="4677" spans="1:4" ht="13.05" customHeight="1" x14ac:dyDescent="0.3">
      <c r="A4677" s="2" t="s">
        <v>726</v>
      </c>
      <c r="B4677" s="2" t="s">
        <v>1199</v>
      </c>
      <c r="C4677" s="5" t="s">
        <v>1044</v>
      </c>
      <c r="D4677" s="2" t="s">
        <v>1045</v>
      </c>
    </row>
    <row r="4678" spans="1:4" ht="13.05" customHeight="1" x14ac:dyDescent="0.3">
      <c r="A4678" s="2" t="s">
        <v>726</v>
      </c>
      <c r="B4678" s="2" t="s">
        <v>1199</v>
      </c>
      <c r="C4678" s="5" t="s">
        <v>1015</v>
      </c>
      <c r="D4678" s="2" t="s">
        <v>1092</v>
      </c>
    </row>
    <row r="4679" spans="1:4" ht="13.05" customHeight="1" x14ac:dyDescent="0.3">
      <c r="A4679" s="2" t="s">
        <v>726</v>
      </c>
      <c r="B4679" s="2" t="s">
        <v>1199</v>
      </c>
      <c r="C4679" s="5" t="s">
        <v>1017</v>
      </c>
      <c r="D4679" s="2" t="s">
        <v>1086</v>
      </c>
    </row>
    <row r="4680" spans="1:4" ht="13.05" customHeight="1" x14ac:dyDescent="0.3">
      <c r="A4680" s="2" t="s">
        <v>726</v>
      </c>
      <c r="B4680" s="2" t="s">
        <v>1199</v>
      </c>
      <c r="C4680" s="5" t="s">
        <v>1019</v>
      </c>
      <c r="D4680" s="2" t="s">
        <v>1020</v>
      </c>
    </row>
    <row r="4681" spans="1:4" ht="13.05" customHeight="1" x14ac:dyDescent="0.3">
      <c r="A4681" s="2" t="s">
        <v>726</v>
      </c>
      <c r="B4681" s="2" t="s">
        <v>1199</v>
      </c>
      <c r="C4681" s="5" t="s">
        <v>1021</v>
      </c>
      <c r="D4681" s="2" t="s">
        <v>890</v>
      </c>
    </row>
    <row r="4682" spans="1:4" ht="13.05" customHeight="1" x14ac:dyDescent="0.3">
      <c r="A4682" s="2" t="s">
        <v>726</v>
      </c>
      <c r="B4682" s="2" t="s">
        <v>1199</v>
      </c>
      <c r="C4682" s="5" t="s">
        <v>1023</v>
      </c>
      <c r="D4682" s="2" t="s">
        <v>6137</v>
      </c>
    </row>
    <row r="4683" spans="1:4" ht="13.05" customHeight="1" x14ac:dyDescent="0.3">
      <c r="A4683" s="2" t="s">
        <v>726</v>
      </c>
      <c r="B4683" s="2" t="s">
        <v>1199</v>
      </c>
      <c r="C4683" s="5" t="s">
        <v>1025</v>
      </c>
      <c r="D4683" s="2" t="s">
        <v>6116</v>
      </c>
    </row>
    <row r="4684" spans="1:4" ht="13.05" customHeight="1" x14ac:dyDescent="0.3">
      <c r="A4684" s="2" t="s">
        <v>726</v>
      </c>
      <c r="B4684" s="2" t="s">
        <v>1199</v>
      </c>
      <c r="C4684" s="5" t="s">
        <v>1027</v>
      </c>
      <c r="D4684" s="2" t="s">
        <v>6117</v>
      </c>
    </row>
    <row r="4685" spans="1:4" ht="13.05" customHeight="1" x14ac:dyDescent="0.3">
      <c r="A4685" s="2" t="s">
        <v>726</v>
      </c>
      <c r="B4685" s="2" t="s">
        <v>1199</v>
      </c>
      <c r="C4685" s="5" t="s">
        <v>1029</v>
      </c>
      <c r="D4685" s="2" t="s">
        <v>6138</v>
      </c>
    </row>
    <row r="4686" spans="1:4" ht="13.05" customHeight="1" x14ac:dyDescent="0.3">
      <c r="A4686" s="2" t="s">
        <v>726</v>
      </c>
      <c r="B4686" s="2" t="s">
        <v>1199</v>
      </c>
      <c r="C4686" s="5" t="s">
        <v>1031</v>
      </c>
      <c r="D4686" s="2" t="s">
        <v>6139</v>
      </c>
    </row>
    <row r="4687" spans="1:4" ht="13.05" customHeight="1" x14ac:dyDescent="0.3">
      <c r="A4687" s="2" t="s">
        <v>726</v>
      </c>
      <c r="B4687" s="2" t="s">
        <v>1199</v>
      </c>
      <c r="C4687" s="5" t="s">
        <v>1040</v>
      </c>
      <c r="D4687" s="2" t="s">
        <v>6140</v>
      </c>
    </row>
    <row r="4688" spans="1:4" ht="13.05" customHeight="1" x14ac:dyDescent="0.3">
      <c r="A4688" s="2" t="s">
        <v>726</v>
      </c>
      <c r="B4688" s="2" t="s">
        <v>1199</v>
      </c>
      <c r="C4688" s="5" t="s">
        <v>1042</v>
      </c>
      <c r="D4688" s="2" t="s">
        <v>6141</v>
      </c>
    </row>
    <row r="4689" spans="1:4" ht="13.05" customHeight="1" x14ac:dyDescent="0.3">
      <c r="A4689" s="2" t="s">
        <v>726</v>
      </c>
      <c r="B4689" s="2" t="s">
        <v>1199</v>
      </c>
      <c r="C4689" s="5" t="s">
        <v>1061</v>
      </c>
      <c r="D4689" s="2" t="s">
        <v>6142</v>
      </c>
    </row>
    <row r="4690" spans="1:4" ht="13.05" customHeight="1" x14ac:dyDescent="0.3">
      <c r="A4690" s="2" t="s">
        <v>726</v>
      </c>
      <c r="B4690" s="2" t="s">
        <v>1199</v>
      </c>
      <c r="C4690" s="5" t="s">
        <v>1063</v>
      </c>
      <c r="D4690" s="2" t="s">
        <v>6143</v>
      </c>
    </row>
    <row r="4691" spans="1:4" ht="13.05" customHeight="1" x14ac:dyDescent="0.3">
      <c r="A4691" s="2" t="s">
        <v>726</v>
      </c>
      <c r="B4691" s="2" t="s">
        <v>1199</v>
      </c>
      <c r="C4691" s="5" t="s">
        <v>1065</v>
      </c>
      <c r="D4691" s="2" t="s">
        <v>6144</v>
      </c>
    </row>
    <row r="4692" spans="1:4" ht="13.05" customHeight="1" x14ac:dyDescent="0.3">
      <c r="A4692" s="2" t="s">
        <v>726</v>
      </c>
      <c r="B4692" s="2" t="s">
        <v>1199</v>
      </c>
      <c r="C4692" s="5" t="s">
        <v>1067</v>
      </c>
      <c r="D4692" s="2" t="s">
        <v>6124</v>
      </c>
    </row>
    <row r="4693" spans="1:4" ht="13.05" customHeight="1" x14ac:dyDescent="0.3">
      <c r="A4693" s="2" t="s">
        <v>726</v>
      </c>
      <c r="B4693" s="2" t="s">
        <v>1199</v>
      </c>
      <c r="C4693" s="5" t="s">
        <v>1069</v>
      </c>
      <c r="D4693" s="2" t="s">
        <v>6145</v>
      </c>
    </row>
    <row r="4694" spans="1:4" ht="13.05" customHeight="1" x14ac:dyDescent="0.3">
      <c r="A4694" s="2" t="s">
        <v>726</v>
      </c>
      <c r="B4694" s="2" t="s">
        <v>1199</v>
      </c>
      <c r="C4694" s="5" t="s">
        <v>1071</v>
      </c>
      <c r="D4694" s="2" t="s">
        <v>6126</v>
      </c>
    </row>
    <row r="4695" spans="1:4" ht="13.05" customHeight="1" x14ac:dyDescent="0.3">
      <c r="A4695" s="2" t="s">
        <v>726</v>
      </c>
      <c r="B4695" s="2" t="s">
        <v>1199</v>
      </c>
      <c r="C4695" s="5" t="s">
        <v>1073</v>
      </c>
      <c r="D4695" s="2" t="s">
        <v>6127</v>
      </c>
    </row>
    <row r="4696" spans="1:4" ht="13.05" customHeight="1" x14ac:dyDescent="0.3">
      <c r="A4696" s="2" t="s">
        <v>726</v>
      </c>
      <c r="B4696" s="2" t="s">
        <v>1199</v>
      </c>
      <c r="C4696" s="5" t="s">
        <v>1075</v>
      </c>
      <c r="D4696" s="2" t="s">
        <v>6146</v>
      </c>
    </row>
    <row r="4697" spans="1:4" ht="13.05" customHeight="1" x14ac:dyDescent="0.3">
      <c r="A4697" s="2" t="s">
        <v>726</v>
      </c>
      <c r="B4697" s="2" t="s">
        <v>1199</v>
      </c>
      <c r="C4697" s="5" t="s">
        <v>1077</v>
      </c>
      <c r="D4697" s="2" t="s">
        <v>6147</v>
      </c>
    </row>
    <row r="4698" spans="1:4" ht="13.05" customHeight="1" x14ac:dyDescent="0.3">
      <c r="A4698" s="2" t="s">
        <v>726</v>
      </c>
      <c r="B4698" s="2" t="s">
        <v>1199</v>
      </c>
      <c r="C4698" s="5" t="s">
        <v>1079</v>
      </c>
      <c r="D4698" s="2" t="s">
        <v>1048</v>
      </c>
    </row>
    <row r="4699" spans="1:4" ht="13.05" customHeight="1" x14ac:dyDescent="0.3">
      <c r="A4699" s="2" t="s">
        <v>726</v>
      </c>
      <c r="B4699" s="2" t="s">
        <v>1199</v>
      </c>
      <c r="C4699" s="5" t="s">
        <v>1081</v>
      </c>
      <c r="D4699" s="2" t="s">
        <v>6148</v>
      </c>
    </row>
    <row r="4700" spans="1:4" ht="13.05" customHeight="1" x14ac:dyDescent="0.3">
      <c r="A4700" s="2" t="s">
        <v>726</v>
      </c>
      <c r="B4700" s="2" t="s">
        <v>1199</v>
      </c>
      <c r="C4700" s="5" t="s">
        <v>1222</v>
      </c>
      <c r="D4700" s="2" t="s">
        <v>6132</v>
      </c>
    </row>
    <row r="4701" spans="1:4" ht="13.05" customHeight="1" x14ac:dyDescent="0.3">
      <c r="A4701" s="2" t="s">
        <v>726</v>
      </c>
      <c r="B4701" s="2" t="s">
        <v>1199</v>
      </c>
      <c r="C4701" s="5" t="s">
        <v>1052</v>
      </c>
      <c r="D4701" s="2" t="s">
        <v>6149</v>
      </c>
    </row>
    <row r="4702" spans="1:4" ht="13.05" customHeight="1" x14ac:dyDescent="0.3">
      <c r="A4702" s="2" t="s">
        <v>728</v>
      </c>
      <c r="B4702" s="2" t="s">
        <v>1199</v>
      </c>
      <c r="C4702" s="5" t="s">
        <v>1044</v>
      </c>
      <c r="D4702" s="2" t="s">
        <v>1045</v>
      </c>
    </row>
    <row r="4703" spans="1:4" ht="13.05" customHeight="1" x14ac:dyDescent="0.3">
      <c r="A4703" s="2" t="s">
        <v>728</v>
      </c>
      <c r="B4703" s="2" t="s">
        <v>1199</v>
      </c>
      <c r="C4703" s="5" t="s">
        <v>1015</v>
      </c>
      <c r="D4703" s="2" t="s">
        <v>1092</v>
      </c>
    </row>
    <row r="4704" spans="1:4" ht="13.05" customHeight="1" x14ac:dyDescent="0.3">
      <c r="A4704" s="2" t="s">
        <v>728</v>
      </c>
      <c r="B4704" s="2" t="s">
        <v>1199</v>
      </c>
      <c r="C4704" s="5" t="s">
        <v>1017</v>
      </c>
      <c r="D4704" s="2" t="s">
        <v>1086</v>
      </c>
    </row>
    <row r="4705" spans="1:4" ht="13.05" customHeight="1" x14ac:dyDescent="0.3">
      <c r="A4705" s="2" t="s">
        <v>728</v>
      </c>
      <c r="B4705" s="2" t="s">
        <v>1199</v>
      </c>
      <c r="C4705" s="5" t="s">
        <v>1019</v>
      </c>
      <c r="D4705" s="2" t="s">
        <v>1020</v>
      </c>
    </row>
    <row r="4706" spans="1:4" ht="13.05" customHeight="1" x14ac:dyDescent="0.3">
      <c r="A4706" s="2" t="s">
        <v>728</v>
      </c>
      <c r="B4706" s="2" t="s">
        <v>1199</v>
      </c>
      <c r="C4706" s="5" t="s">
        <v>1021</v>
      </c>
      <c r="D4706" s="2" t="s">
        <v>890</v>
      </c>
    </row>
    <row r="4707" spans="1:4" ht="13.05" customHeight="1" x14ac:dyDescent="0.3">
      <c r="A4707" s="2" t="s">
        <v>728</v>
      </c>
      <c r="B4707" s="2" t="s">
        <v>1199</v>
      </c>
      <c r="C4707" s="5" t="s">
        <v>1023</v>
      </c>
      <c r="D4707" s="2" t="s">
        <v>6137</v>
      </c>
    </row>
    <row r="4708" spans="1:4" ht="13.05" customHeight="1" x14ac:dyDescent="0.3">
      <c r="A4708" s="2" t="s">
        <v>728</v>
      </c>
      <c r="B4708" s="2" t="s">
        <v>1199</v>
      </c>
      <c r="C4708" s="5" t="s">
        <v>1025</v>
      </c>
      <c r="D4708" s="2" t="s">
        <v>6116</v>
      </c>
    </row>
    <row r="4709" spans="1:4" ht="13.05" customHeight="1" x14ac:dyDescent="0.3">
      <c r="A4709" s="2" t="s">
        <v>728</v>
      </c>
      <c r="B4709" s="2" t="s">
        <v>1199</v>
      </c>
      <c r="C4709" s="5" t="s">
        <v>1027</v>
      </c>
      <c r="D4709" s="2" t="s">
        <v>6117</v>
      </c>
    </row>
    <row r="4710" spans="1:4" ht="13.05" customHeight="1" x14ac:dyDescent="0.3">
      <c r="A4710" s="2" t="s">
        <v>728</v>
      </c>
      <c r="B4710" s="2" t="s">
        <v>1199</v>
      </c>
      <c r="C4710" s="5" t="s">
        <v>1029</v>
      </c>
      <c r="D4710" s="2" t="s">
        <v>6138</v>
      </c>
    </row>
    <row r="4711" spans="1:4" ht="13.05" customHeight="1" x14ac:dyDescent="0.3">
      <c r="A4711" s="2" t="s">
        <v>728</v>
      </c>
      <c r="B4711" s="2" t="s">
        <v>1199</v>
      </c>
      <c r="C4711" s="5" t="s">
        <v>1031</v>
      </c>
      <c r="D4711" s="2" t="s">
        <v>6139</v>
      </c>
    </row>
    <row r="4712" spans="1:4" ht="13.05" customHeight="1" x14ac:dyDescent="0.3">
      <c r="A4712" s="2" t="s">
        <v>728</v>
      </c>
      <c r="B4712" s="2" t="s">
        <v>1199</v>
      </c>
      <c r="C4712" s="5" t="s">
        <v>1040</v>
      </c>
      <c r="D4712" s="2" t="s">
        <v>6140</v>
      </c>
    </row>
    <row r="4713" spans="1:4" ht="13.05" customHeight="1" x14ac:dyDescent="0.3">
      <c r="A4713" s="2" t="s">
        <v>728</v>
      </c>
      <c r="B4713" s="2" t="s">
        <v>1199</v>
      </c>
      <c r="C4713" s="5" t="s">
        <v>1042</v>
      </c>
      <c r="D4713" s="2" t="s">
        <v>6141</v>
      </c>
    </row>
    <row r="4714" spans="1:4" ht="13.05" customHeight="1" x14ac:dyDescent="0.3">
      <c r="A4714" s="2" t="s">
        <v>728</v>
      </c>
      <c r="B4714" s="2" t="s">
        <v>1199</v>
      </c>
      <c r="C4714" s="5" t="s">
        <v>1061</v>
      </c>
      <c r="D4714" s="2" t="s">
        <v>6142</v>
      </c>
    </row>
    <row r="4715" spans="1:4" ht="13.05" customHeight="1" x14ac:dyDescent="0.3">
      <c r="A4715" s="2" t="s">
        <v>728</v>
      </c>
      <c r="B4715" s="2" t="s">
        <v>1199</v>
      </c>
      <c r="C4715" s="5" t="s">
        <v>1063</v>
      </c>
      <c r="D4715" s="2" t="s">
        <v>6143</v>
      </c>
    </row>
    <row r="4716" spans="1:4" ht="13.05" customHeight="1" x14ac:dyDescent="0.3">
      <c r="A4716" s="2" t="s">
        <v>728</v>
      </c>
      <c r="B4716" s="2" t="s">
        <v>1199</v>
      </c>
      <c r="C4716" s="5" t="s">
        <v>1065</v>
      </c>
      <c r="D4716" s="2" t="s">
        <v>6144</v>
      </c>
    </row>
    <row r="4717" spans="1:4" ht="13.05" customHeight="1" x14ac:dyDescent="0.3">
      <c r="A4717" s="2" t="s">
        <v>728</v>
      </c>
      <c r="B4717" s="2" t="s">
        <v>1199</v>
      </c>
      <c r="C4717" s="5" t="s">
        <v>1067</v>
      </c>
      <c r="D4717" s="2" t="s">
        <v>6124</v>
      </c>
    </row>
    <row r="4718" spans="1:4" ht="13.05" customHeight="1" x14ac:dyDescent="0.3">
      <c r="A4718" s="2" t="s">
        <v>728</v>
      </c>
      <c r="B4718" s="2" t="s">
        <v>1199</v>
      </c>
      <c r="C4718" s="5" t="s">
        <v>1069</v>
      </c>
      <c r="D4718" s="2" t="s">
        <v>6145</v>
      </c>
    </row>
    <row r="4719" spans="1:4" ht="13.05" customHeight="1" x14ac:dyDescent="0.3">
      <c r="A4719" s="2" t="s">
        <v>728</v>
      </c>
      <c r="B4719" s="2" t="s">
        <v>1199</v>
      </c>
      <c r="C4719" s="5" t="s">
        <v>1071</v>
      </c>
      <c r="D4719" s="2" t="s">
        <v>6126</v>
      </c>
    </row>
    <row r="4720" spans="1:4" ht="13.05" customHeight="1" x14ac:dyDescent="0.3">
      <c r="A4720" s="2" t="s">
        <v>728</v>
      </c>
      <c r="B4720" s="2" t="s">
        <v>1199</v>
      </c>
      <c r="C4720" s="5" t="s">
        <v>1073</v>
      </c>
      <c r="D4720" s="2" t="s">
        <v>6127</v>
      </c>
    </row>
    <row r="4721" spans="1:4" ht="13.05" customHeight="1" x14ac:dyDescent="0.3">
      <c r="A4721" s="2" t="s">
        <v>728</v>
      </c>
      <c r="B4721" s="2" t="s">
        <v>1199</v>
      </c>
      <c r="C4721" s="5" t="s">
        <v>1075</v>
      </c>
      <c r="D4721" s="2" t="s">
        <v>6146</v>
      </c>
    </row>
    <row r="4722" spans="1:4" ht="13.05" customHeight="1" x14ac:dyDescent="0.3">
      <c r="A4722" s="2" t="s">
        <v>728</v>
      </c>
      <c r="B4722" s="2" t="s">
        <v>1199</v>
      </c>
      <c r="C4722" s="5" t="s">
        <v>1077</v>
      </c>
      <c r="D4722" s="2" t="s">
        <v>6147</v>
      </c>
    </row>
    <row r="4723" spans="1:4" ht="13.05" customHeight="1" x14ac:dyDescent="0.3">
      <c r="A4723" s="2" t="s">
        <v>728</v>
      </c>
      <c r="B4723" s="2" t="s">
        <v>1199</v>
      </c>
      <c r="C4723" s="5" t="s">
        <v>1079</v>
      </c>
      <c r="D4723" s="2" t="s">
        <v>1048</v>
      </c>
    </row>
    <row r="4724" spans="1:4" ht="13.05" customHeight="1" x14ac:dyDescent="0.3">
      <c r="A4724" s="2" t="s">
        <v>728</v>
      </c>
      <c r="B4724" s="2" t="s">
        <v>1199</v>
      </c>
      <c r="C4724" s="5" t="s">
        <v>1081</v>
      </c>
      <c r="D4724" s="2" t="s">
        <v>6148</v>
      </c>
    </row>
    <row r="4725" spans="1:4" ht="13.05" customHeight="1" x14ac:dyDescent="0.3">
      <c r="A4725" s="2" t="s">
        <v>728</v>
      </c>
      <c r="B4725" s="2" t="s">
        <v>1199</v>
      </c>
      <c r="C4725" s="5" t="s">
        <v>1222</v>
      </c>
      <c r="D4725" s="2" t="s">
        <v>6132</v>
      </c>
    </row>
    <row r="4726" spans="1:4" ht="13.05" customHeight="1" x14ac:dyDescent="0.3">
      <c r="A4726" s="2" t="s">
        <v>728</v>
      </c>
      <c r="B4726" s="2" t="s">
        <v>1199</v>
      </c>
      <c r="C4726" s="5" t="s">
        <v>1052</v>
      </c>
      <c r="D4726" s="2" t="s">
        <v>6149</v>
      </c>
    </row>
    <row r="4727" spans="1:4" ht="13.05" customHeight="1" x14ac:dyDescent="0.3">
      <c r="A4727" s="2" t="s">
        <v>730</v>
      </c>
      <c r="B4727" s="2" t="s">
        <v>1199</v>
      </c>
      <c r="C4727" s="5" t="s">
        <v>1044</v>
      </c>
      <c r="D4727" s="2" t="s">
        <v>1045</v>
      </c>
    </row>
    <row r="4728" spans="1:4" ht="13.05" customHeight="1" x14ac:dyDescent="0.3">
      <c r="A4728" s="2" t="s">
        <v>730</v>
      </c>
      <c r="B4728" s="2" t="s">
        <v>1199</v>
      </c>
      <c r="C4728" s="5" t="s">
        <v>1015</v>
      </c>
      <c r="D4728" s="2" t="s">
        <v>1092</v>
      </c>
    </row>
    <row r="4729" spans="1:4" ht="13.05" customHeight="1" x14ac:dyDescent="0.3">
      <c r="A4729" s="2" t="s">
        <v>730</v>
      </c>
      <c r="B4729" s="2" t="s">
        <v>1199</v>
      </c>
      <c r="C4729" s="5" t="s">
        <v>1017</v>
      </c>
      <c r="D4729" s="2" t="s">
        <v>1086</v>
      </c>
    </row>
    <row r="4730" spans="1:4" ht="13.05" customHeight="1" x14ac:dyDescent="0.3">
      <c r="A4730" s="2" t="s">
        <v>730</v>
      </c>
      <c r="B4730" s="2" t="s">
        <v>1199</v>
      </c>
      <c r="C4730" s="5" t="s">
        <v>1019</v>
      </c>
      <c r="D4730" s="2" t="s">
        <v>1020</v>
      </c>
    </row>
    <row r="4731" spans="1:4" ht="13.05" customHeight="1" x14ac:dyDescent="0.3">
      <c r="A4731" s="2" t="s">
        <v>730</v>
      </c>
      <c r="B4731" s="2" t="s">
        <v>1199</v>
      </c>
      <c r="C4731" s="5" t="s">
        <v>1021</v>
      </c>
      <c r="D4731" s="2" t="s">
        <v>890</v>
      </c>
    </row>
    <row r="4732" spans="1:4" ht="13.05" customHeight="1" x14ac:dyDescent="0.3">
      <c r="A4732" s="2" t="s">
        <v>730</v>
      </c>
      <c r="B4732" s="2" t="s">
        <v>1199</v>
      </c>
      <c r="C4732" s="5" t="s">
        <v>1023</v>
      </c>
      <c r="D4732" s="2" t="s">
        <v>6137</v>
      </c>
    </row>
    <row r="4733" spans="1:4" ht="13.05" customHeight="1" x14ac:dyDescent="0.3">
      <c r="A4733" s="2" t="s">
        <v>730</v>
      </c>
      <c r="B4733" s="2" t="s">
        <v>1199</v>
      </c>
      <c r="C4733" s="5" t="s">
        <v>1025</v>
      </c>
      <c r="D4733" s="2" t="s">
        <v>6116</v>
      </c>
    </row>
    <row r="4734" spans="1:4" ht="13.05" customHeight="1" x14ac:dyDescent="0.3">
      <c r="A4734" s="2" t="s">
        <v>730</v>
      </c>
      <c r="B4734" s="2" t="s">
        <v>1199</v>
      </c>
      <c r="C4734" s="5" t="s">
        <v>1027</v>
      </c>
      <c r="D4734" s="2" t="s">
        <v>6117</v>
      </c>
    </row>
    <row r="4735" spans="1:4" ht="13.05" customHeight="1" x14ac:dyDescent="0.3">
      <c r="A4735" s="2" t="s">
        <v>730</v>
      </c>
      <c r="B4735" s="2" t="s">
        <v>1199</v>
      </c>
      <c r="C4735" s="5" t="s">
        <v>1029</v>
      </c>
      <c r="D4735" s="2" t="s">
        <v>6138</v>
      </c>
    </row>
    <row r="4736" spans="1:4" ht="13.05" customHeight="1" x14ac:dyDescent="0.3">
      <c r="A4736" s="2" t="s">
        <v>730</v>
      </c>
      <c r="B4736" s="2" t="s">
        <v>1199</v>
      </c>
      <c r="C4736" s="5" t="s">
        <v>1031</v>
      </c>
      <c r="D4736" s="2" t="s">
        <v>6139</v>
      </c>
    </row>
    <row r="4737" spans="1:4" ht="13.05" customHeight="1" x14ac:dyDescent="0.3">
      <c r="A4737" s="2" t="s">
        <v>730</v>
      </c>
      <c r="B4737" s="2" t="s">
        <v>1199</v>
      </c>
      <c r="C4737" s="5" t="s">
        <v>1040</v>
      </c>
      <c r="D4737" s="2" t="s">
        <v>6140</v>
      </c>
    </row>
    <row r="4738" spans="1:4" ht="13.05" customHeight="1" x14ac:dyDescent="0.3">
      <c r="A4738" s="2" t="s">
        <v>730</v>
      </c>
      <c r="B4738" s="2" t="s">
        <v>1199</v>
      </c>
      <c r="C4738" s="5" t="s">
        <v>1042</v>
      </c>
      <c r="D4738" s="2" t="s">
        <v>6141</v>
      </c>
    </row>
    <row r="4739" spans="1:4" ht="13.05" customHeight="1" x14ac:dyDescent="0.3">
      <c r="A4739" s="2" t="s">
        <v>730</v>
      </c>
      <c r="B4739" s="2" t="s">
        <v>1199</v>
      </c>
      <c r="C4739" s="5" t="s">
        <v>1061</v>
      </c>
      <c r="D4739" s="2" t="s">
        <v>6142</v>
      </c>
    </row>
    <row r="4740" spans="1:4" ht="13.05" customHeight="1" x14ac:dyDescent="0.3">
      <c r="A4740" s="2" t="s">
        <v>730</v>
      </c>
      <c r="B4740" s="2" t="s">
        <v>1199</v>
      </c>
      <c r="C4740" s="5" t="s">
        <v>1063</v>
      </c>
      <c r="D4740" s="2" t="s">
        <v>6143</v>
      </c>
    </row>
    <row r="4741" spans="1:4" ht="13.05" customHeight="1" x14ac:dyDescent="0.3">
      <c r="A4741" s="2" t="s">
        <v>730</v>
      </c>
      <c r="B4741" s="2" t="s">
        <v>1199</v>
      </c>
      <c r="C4741" s="5" t="s">
        <v>1065</v>
      </c>
      <c r="D4741" s="2" t="s">
        <v>6144</v>
      </c>
    </row>
    <row r="4742" spans="1:4" ht="13.05" customHeight="1" x14ac:dyDescent="0.3">
      <c r="A4742" s="2" t="s">
        <v>730</v>
      </c>
      <c r="B4742" s="2" t="s">
        <v>1199</v>
      </c>
      <c r="C4742" s="5" t="s">
        <v>1067</v>
      </c>
      <c r="D4742" s="2" t="s">
        <v>6124</v>
      </c>
    </row>
    <row r="4743" spans="1:4" ht="13.05" customHeight="1" x14ac:dyDescent="0.3">
      <c r="A4743" s="2" t="s">
        <v>730</v>
      </c>
      <c r="B4743" s="2" t="s">
        <v>1199</v>
      </c>
      <c r="C4743" s="5" t="s">
        <v>1069</v>
      </c>
      <c r="D4743" s="2" t="s">
        <v>6145</v>
      </c>
    </row>
    <row r="4744" spans="1:4" ht="13.05" customHeight="1" x14ac:dyDescent="0.3">
      <c r="A4744" s="2" t="s">
        <v>730</v>
      </c>
      <c r="B4744" s="2" t="s">
        <v>1199</v>
      </c>
      <c r="C4744" s="5" t="s">
        <v>1071</v>
      </c>
      <c r="D4744" s="2" t="s">
        <v>6126</v>
      </c>
    </row>
    <row r="4745" spans="1:4" ht="13.05" customHeight="1" x14ac:dyDescent="0.3">
      <c r="A4745" s="2" t="s">
        <v>730</v>
      </c>
      <c r="B4745" s="2" t="s">
        <v>1199</v>
      </c>
      <c r="C4745" s="5" t="s">
        <v>1073</v>
      </c>
      <c r="D4745" s="2" t="s">
        <v>6127</v>
      </c>
    </row>
    <row r="4746" spans="1:4" ht="13.05" customHeight="1" x14ac:dyDescent="0.3">
      <c r="A4746" s="2" t="s">
        <v>730</v>
      </c>
      <c r="B4746" s="2" t="s">
        <v>1199</v>
      </c>
      <c r="C4746" s="5" t="s">
        <v>1075</v>
      </c>
      <c r="D4746" s="2" t="s">
        <v>6146</v>
      </c>
    </row>
    <row r="4747" spans="1:4" ht="13.05" customHeight="1" x14ac:dyDescent="0.3">
      <c r="A4747" s="2" t="s">
        <v>730</v>
      </c>
      <c r="B4747" s="2" t="s">
        <v>1199</v>
      </c>
      <c r="C4747" s="5" t="s">
        <v>1077</v>
      </c>
      <c r="D4747" s="2" t="s">
        <v>6147</v>
      </c>
    </row>
    <row r="4748" spans="1:4" ht="13.05" customHeight="1" x14ac:dyDescent="0.3">
      <c r="A4748" s="2" t="s">
        <v>730</v>
      </c>
      <c r="B4748" s="2" t="s">
        <v>1199</v>
      </c>
      <c r="C4748" s="5" t="s">
        <v>1079</v>
      </c>
      <c r="D4748" s="2" t="s">
        <v>1048</v>
      </c>
    </row>
    <row r="4749" spans="1:4" ht="13.05" customHeight="1" x14ac:dyDescent="0.3">
      <c r="A4749" s="2" t="s">
        <v>730</v>
      </c>
      <c r="B4749" s="2" t="s">
        <v>1199</v>
      </c>
      <c r="C4749" s="5" t="s">
        <v>1081</v>
      </c>
      <c r="D4749" s="2" t="s">
        <v>6148</v>
      </c>
    </row>
    <row r="4750" spans="1:4" ht="13.05" customHeight="1" x14ac:dyDescent="0.3">
      <c r="A4750" s="2" t="s">
        <v>730</v>
      </c>
      <c r="B4750" s="2" t="s">
        <v>1199</v>
      </c>
      <c r="C4750" s="5" t="s">
        <v>1222</v>
      </c>
      <c r="D4750" s="2" t="s">
        <v>6132</v>
      </c>
    </row>
    <row r="4751" spans="1:4" ht="13.05" customHeight="1" x14ac:dyDescent="0.3">
      <c r="A4751" s="2" t="s">
        <v>730</v>
      </c>
      <c r="B4751" s="2" t="s">
        <v>1199</v>
      </c>
      <c r="C4751" s="5" t="s">
        <v>1052</v>
      </c>
      <c r="D4751" s="2" t="s">
        <v>6149</v>
      </c>
    </row>
    <row r="4752" spans="1:4" ht="13.05" customHeight="1" x14ac:dyDescent="0.3">
      <c r="A4752" s="2" t="s">
        <v>732</v>
      </c>
      <c r="B4752" s="2" t="s">
        <v>1199</v>
      </c>
      <c r="C4752" s="5" t="s">
        <v>1044</v>
      </c>
      <c r="D4752" s="2" t="s">
        <v>1045</v>
      </c>
    </row>
    <row r="4753" spans="1:4" ht="13.05" customHeight="1" x14ac:dyDescent="0.3">
      <c r="A4753" s="2" t="s">
        <v>732</v>
      </c>
      <c r="B4753" s="2" t="s">
        <v>1199</v>
      </c>
      <c r="C4753" s="5" t="s">
        <v>1015</v>
      </c>
      <c r="D4753" s="2" t="s">
        <v>1092</v>
      </c>
    </row>
    <row r="4754" spans="1:4" ht="13.05" customHeight="1" x14ac:dyDescent="0.3">
      <c r="A4754" s="2" t="s">
        <v>732</v>
      </c>
      <c r="B4754" s="2" t="s">
        <v>1199</v>
      </c>
      <c r="C4754" s="5" t="s">
        <v>1017</v>
      </c>
      <c r="D4754" s="2" t="s">
        <v>1086</v>
      </c>
    </row>
    <row r="4755" spans="1:4" ht="13.05" customHeight="1" x14ac:dyDescent="0.3">
      <c r="A4755" s="2" t="s">
        <v>732</v>
      </c>
      <c r="B4755" s="2" t="s">
        <v>1199</v>
      </c>
      <c r="C4755" s="5" t="s">
        <v>1019</v>
      </c>
      <c r="D4755" s="2" t="s">
        <v>1020</v>
      </c>
    </row>
    <row r="4756" spans="1:4" ht="13.05" customHeight="1" x14ac:dyDescent="0.3">
      <c r="A4756" s="2" t="s">
        <v>732</v>
      </c>
      <c r="B4756" s="2" t="s">
        <v>1199</v>
      </c>
      <c r="C4756" s="5" t="s">
        <v>1021</v>
      </c>
      <c r="D4756" s="2" t="s">
        <v>890</v>
      </c>
    </row>
    <row r="4757" spans="1:4" ht="13.05" customHeight="1" x14ac:dyDescent="0.3">
      <c r="A4757" s="2" t="s">
        <v>732</v>
      </c>
      <c r="B4757" s="2" t="s">
        <v>1199</v>
      </c>
      <c r="C4757" s="5" t="s">
        <v>1023</v>
      </c>
      <c r="D4757" s="2" t="s">
        <v>6137</v>
      </c>
    </row>
    <row r="4758" spans="1:4" ht="13.05" customHeight="1" x14ac:dyDescent="0.3">
      <c r="A4758" s="2" t="s">
        <v>732</v>
      </c>
      <c r="B4758" s="2" t="s">
        <v>1199</v>
      </c>
      <c r="C4758" s="5" t="s">
        <v>1025</v>
      </c>
      <c r="D4758" s="2" t="s">
        <v>6116</v>
      </c>
    </row>
    <row r="4759" spans="1:4" ht="13.05" customHeight="1" x14ac:dyDescent="0.3">
      <c r="A4759" s="2" t="s">
        <v>732</v>
      </c>
      <c r="B4759" s="2" t="s">
        <v>1199</v>
      </c>
      <c r="C4759" s="5" t="s">
        <v>1027</v>
      </c>
      <c r="D4759" s="2" t="s">
        <v>6117</v>
      </c>
    </row>
    <row r="4760" spans="1:4" ht="13.05" customHeight="1" x14ac:dyDescent="0.3">
      <c r="A4760" s="2" t="s">
        <v>732</v>
      </c>
      <c r="B4760" s="2" t="s">
        <v>1199</v>
      </c>
      <c r="C4760" s="5" t="s">
        <v>1029</v>
      </c>
      <c r="D4760" s="2" t="s">
        <v>6138</v>
      </c>
    </row>
    <row r="4761" spans="1:4" ht="13.05" customHeight="1" x14ac:dyDescent="0.3">
      <c r="A4761" s="2" t="s">
        <v>732</v>
      </c>
      <c r="B4761" s="2" t="s">
        <v>1199</v>
      </c>
      <c r="C4761" s="5" t="s">
        <v>1031</v>
      </c>
      <c r="D4761" s="2" t="s">
        <v>6139</v>
      </c>
    </row>
    <row r="4762" spans="1:4" ht="13.05" customHeight="1" x14ac:dyDescent="0.3">
      <c r="A4762" s="2" t="s">
        <v>732</v>
      </c>
      <c r="B4762" s="2" t="s">
        <v>1199</v>
      </c>
      <c r="C4762" s="5" t="s">
        <v>1040</v>
      </c>
      <c r="D4762" s="2" t="s">
        <v>6140</v>
      </c>
    </row>
    <row r="4763" spans="1:4" ht="13.05" customHeight="1" x14ac:dyDescent="0.3">
      <c r="A4763" s="2" t="s">
        <v>732</v>
      </c>
      <c r="B4763" s="2" t="s">
        <v>1199</v>
      </c>
      <c r="C4763" s="5" t="s">
        <v>1042</v>
      </c>
      <c r="D4763" s="2" t="s">
        <v>6141</v>
      </c>
    </row>
    <row r="4764" spans="1:4" ht="13.05" customHeight="1" x14ac:dyDescent="0.3">
      <c r="A4764" s="2" t="s">
        <v>732</v>
      </c>
      <c r="B4764" s="2" t="s">
        <v>1199</v>
      </c>
      <c r="C4764" s="5" t="s">
        <v>1061</v>
      </c>
      <c r="D4764" s="2" t="s">
        <v>6142</v>
      </c>
    </row>
    <row r="4765" spans="1:4" ht="13.05" customHeight="1" x14ac:dyDescent="0.3">
      <c r="A4765" s="2" t="s">
        <v>732</v>
      </c>
      <c r="B4765" s="2" t="s">
        <v>1199</v>
      </c>
      <c r="C4765" s="5" t="s">
        <v>1063</v>
      </c>
      <c r="D4765" s="2" t="s">
        <v>6143</v>
      </c>
    </row>
    <row r="4766" spans="1:4" ht="13.05" customHeight="1" x14ac:dyDescent="0.3">
      <c r="A4766" s="2" t="s">
        <v>732</v>
      </c>
      <c r="B4766" s="2" t="s">
        <v>1199</v>
      </c>
      <c r="C4766" s="5" t="s">
        <v>1065</v>
      </c>
      <c r="D4766" s="2" t="s">
        <v>6144</v>
      </c>
    </row>
    <row r="4767" spans="1:4" ht="13.05" customHeight="1" x14ac:dyDescent="0.3">
      <c r="A4767" s="2" t="s">
        <v>732</v>
      </c>
      <c r="B4767" s="2" t="s">
        <v>1199</v>
      </c>
      <c r="C4767" s="5" t="s">
        <v>1067</v>
      </c>
      <c r="D4767" s="2" t="s">
        <v>6124</v>
      </c>
    </row>
    <row r="4768" spans="1:4" ht="13.05" customHeight="1" x14ac:dyDescent="0.3">
      <c r="A4768" s="2" t="s">
        <v>732</v>
      </c>
      <c r="B4768" s="2" t="s">
        <v>1199</v>
      </c>
      <c r="C4768" s="5" t="s">
        <v>1069</v>
      </c>
      <c r="D4768" s="2" t="s">
        <v>6145</v>
      </c>
    </row>
    <row r="4769" spans="1:4" ht="13.05" customHeight="1" x14ac:dyDescent="0.3">
      <c r="A4769" s="2" t="s">
        <v>732</v>
      </c>
      <c r="B4769" s="2" t="s">
        <v>1199</v>
      </c>
      <c r="C4769" s="5" t="s">
        <v>1071</v>
      </c>
      <c r="D4769" s="2" t="s">
        <v>6126</v>
      </c>
    </row>
    <row r="4770" spans="1:4" ht="13.05" customHeight="1" x14ac:dyDescent="0.3">
      <c r="A4770" s="2" t="s">
        <v>732</v>
      </c>
      <c r="B4770" s="2" t="s">
        <v>1199</v>
      </c>
      <c r="C4770" s="5" t="s">
        <v>1073</v>
      </c>
      <c r="D4770" s="2" t="s">
        <v>6127</v>
      </c>
    </row>
    <row r="4771" spans="1:4" ht="13.05" customHeight="1" x14ac:dyDescent="0.3">
      <c r="A4771" s="2" t="s">
        <v>732</v>
      </c>
      <c r="B4771" s="2" t="s">
        <v>1199</v>
      </c>
      <c r="C4771" s="5" t="s">
        <v>1075</v>
      </c>
      <c r="D4771" s="2" t="s">
        <v>6146</v>
      </c>
    </row>
    <row r="4772" spans="1:4" ht="13.05" customHeight="1" x14ac:dyDescent="0.3">
      <c r="A4772" s="2" t="s">
        <v>732</v>
      </c>
      <c r="B4772" s="2" t="s">
        <v>1199</v>
      </c>
      <c r="C4772" s="5" t="s">
        <v>1077</v>
      </c>
      <c r="D4772" s="2" t="s">
        <v>6147</v>
      </c>
    </row>
    <row r="4773" spans="1:4" ht="13.05" customHeight="1" x14ac:dyDescent="0.3">
      <c r="A4773" s="2" t="s">
        <v>732</v>
      </c>
      <c r="B4773" s="2" t="s">
        <v>1199</v>
      </c>
      <c r="C4773" s="5" t="s">
        <v>1079</v>
      </c>
      <c r="D4773" s="2" t="s">
        <v>1048</v>
      </c>
    </row>
    <row r="4774" spans="1:4" ht="13.05" customHeight="1" x14ac:dyDescent="0.3">
      <c r="A4774" s="2" t="s">
        <v>732</v>
      </c>
      <c r="B4774" s="2" t="s">
        <v>1199</v>
      </c>
      <c r="C4774" s="5" t="s">
        <v>1081</v>
      </c>
      <c r="D4774" s="2" t="s">
        <v>6148</v>
      </c>
    </row>
    <row r="4775" spans="1:4" ht="13.05" customHeight="1" x14ac:dyDescent="0.3">
      <c r="A4775" s="2" t="s">
        <v>732</v>
      </c>
      <c r="B4775" s="2" t="s">
        <v>1199</v>
      </c>
      <c r="C4775" s="5" t="s">
        <v>1222</v>
      </c>
      <c r="D4775" s="2" t="s">
        <v>6132</v>
      </c>
    </row>
    <row r="4776" spans="1:4" ht="13.05" customHeight="1" x14ac:dyDescent="0.3">
      <c r="A4776" s="2" t="s">
        <v>732</v>
      </c>
      <c r="B4776" s="2" t="s">
        <v>1199</v>
      </c>
      <c r="C4776" s="5" t="s">
        <v>1052</v>
      </c>
      <c r="D4776" s="2" t="s">
        <v>6149</v>
      </c>
    </row>
    <row r="4777" spans="1:4" ht="13.05" customHeight="1" x14ac:dyDescent="0.3">
      <c r="A4777" s="2" t="s">
        <v>734</v>
      </c>
      <c r="B4777" s="2" t="s">
        <v>1199</v>
      </c>
      <c r="C4777" s="5" t="s">
        <v>1044</v>
      </c>
      <c r="D4777" s="2" t="s">
        <v>1045</v>
      </c>
    </row>
    <row r="4778" spans="1:4" ht="13.05" customHeight="1" x14ac:dyDescent="0.3">
      <c r="A4778" s="2" t="s">
        <v>734</v>
      </c>
      <c r="B4778" s="2" t="s">
        <v>1199</v>
      </c>
      <c r="C4778" s="5" t="s">
        <v>1015</v>
      </c>
      <c r="D4778" s="2" t="s">
        <v>1092</v>
      </c>
    </row>
    <row r="4779" spans="1:4" ht="13.05" customHeight="1" x14ac:dyDescent="0.3">
      <c r="A4779" s="2" t="s">
        <v>734</v>
      </c>
      <c r="B4779" s="2" t="s">
        <v>1199</v>
      </c>
      <c r="C4779" s="5" t="s">
        <v>1017</v>
      </c>
      <c r="D4779" s="2" t="s">
        <v>1086</v>
      </c>
    </row>
    <row r="4780" spans="1:4" ht="13.05" customHeight="1" x14ac:dyDescent="0.3">
      <c r="A4780" s="2" t="s">
        <v>734</v>
      </c>
      <c r="B4780" s="2" t="s">
        <v>1199</v>
      </c>
      <c r="C4780" s="5" t="s">
        <v>1019</v>
      </c>
      <c r="D4780" s="2" t="s">
        <v>1020</v>
      </c>
    </row>
    <row r="4781" spans="1:4" ht="13.05" customHeight="1" x14ac:dyDescent="0.3">
      <c r="A4781" s="2" t="s">
        <v>734</v>
      </c>
      <c r="B4781" s="2" t="s">
        <v>1199</v>
      </c>
      <c r="C4781" s="5" t="s">
        <v>1021</v>
      </c>
      <c r="D4781" s="2" t="s">
        <v>890</v>
      </c>
    </row>
    <row r="4782" spans="1:4" ht="13.05" customHeight="1" x14ac:dyDescent="0.3">
      <c r="A4782" s="2" t="s">
        <v>734</v>
      </c>
      <c r="B4782" s="2" t="s">
        <v>1199</v>
      </c>
      <c r="C4782" s="5" t="s">
        <v>1023</v>
      </c>
      <c r="D4782" s="2" t="s">
        <v>6137</v>
      </c>
    </row>
    <row r="4783" spans="1:4" ht="13.05" customHeight="1" x14ac:dyDescent="0.3">
      <c r="A4783" s="2" t="s">
        <v>734</v>
      </c>
      <c r="B4783" s="2" t="s">
        <v>1199</v>
      </c>
      <c r="C4783" s="5" t="s">
        <v>1025</v>
      </c>
      <c r="D4783" s="2" t="s">
        <v>6116</v>
      </c>
    </row>
    <row r="4784" spans="1:4" ht="13.05" customHeight="1" x14ac:dyDescent="0.3">
      <c r="A4784" s="2" t="s">
        <v>734</v>
      </c>
      <c r="B4784" s="2" t="s">
        <v>1199</v>
      </c>
      <c r="C4784" s="5" t="s">
        <v>1027</v>
      </c>
      <c r="D4784" s="2" t="s">
        <v>6117</v>
      </c>
    </row>
    <row r="4785" spans="1:4" ht="13.05" customHeight="1" x14ac:dyDescent="0.3">
      <c r="A4785" s="2" t="s">
        <v>734</v>
      </c>
      <c r="B4785" s="2" t="s">
        <v>1199</v>
      </c>
      <c r="C4785" s="5" t="s">
        <v>1029</v>
      </c>
      <c r="D4785" s="2" t="s">
        <v>6138</v>
      </c>
    </row>
    <row r="4786" spans="1:4" ht="13.05" customHeight="1" x14ac:dyDescent="0.3">
      <c r="A4786" s="2" t="s">
        <v>734</v>
      </c>
      <c r="B4786" s="2" t="s">
        <v>1199</v>
      </c>
      <c r="C4786" s="5" t="s">
        <v>1031</v>
      </c>
      <c r="D4786" s="2" t="s">
        <v>6139</v>
      </c>
    </row>
    <row r="4787" spans="1:4" ht="13.05" customHeight="1" x14ac:dyDescent="0.3">
      <c r="A4787" s="2" t="s">
        <v>734</v>
      </c>
      <c r="B4787" s="2" t="s">
        <v>1199</v>
      </c>
      <c r="C4787" s="5" t="s">
        <v>1040</v>
      </c>
      <c r="D4787" s="2" t="s">
        <v>6140</v>
      </c>
    </row>
    <row r="4788" spans="1:4" ht="13.05" customHeight="1" x14ac:dyDescent="0.3">
      <c r="A4788" s="2" t="s">
        <v>734</v>
      </c>
      <c r="B4788" s="2" t="s">
        <v>1199</v>
      </c>
      <c r="C4788" s="5" t="s">
        <v>1042</v>
      </c>
      <c r="D4788" s="2" t="s">
        <v>6141</v>
      </c>
    </row>
    <row r="4789" spans="1:4" ht="13.05" customHeight="1" x14ac:dyDescent="0.3">
      <c r="A4789" s="2" t="s">
        <v>734</v>
      </c>
      <c r="B4789" s="2" t="s">
        <v>1199</v>
      </c>
      <c r="C4789" s="5" t="s">
        <v>1061</v>
      </c>
      <c r="D4789" s="2" t="s">
        <v>6142</v>
      </c>
    </row>
    <row r="4790" spans="1:4" ht="13.05" customHeight="1" x14ac:dyDescent="0.3">
      <c r="A4790" s="2" t="s">
        <v>734</v>
      </c>
      <c r="B4790" s="2" t="s">
        <v>1199</v>
      </c>
      <c r="C4790" s="5" t="s">
        <v>1063</v>
      </c>
      <c r="D4790" s="2" t="s">
        <v>6143</v>
      </c>
    </row>
    <row r="4791" spans="1:4" ht="13.05" customHeight="1" x14ac:dyDescent="0.3">
      <c r="A4791" s="2" t="s">
        <v>734</v>
      </c>
      <c r="B4791" s="2" t="s">
        <v>1199</v>
      </c>
      <c r="C4791" s="5" t="s">
        <v>1065</v>
      </c>
      <c r="D4791" s="2" t="s">
        <v>6144</v>
      </c>
    </row>
    <row r="4792" spans="1:4" ht="13.05" customHeight="1" x14ac:dyDescent="0.3">
      <c r="A4792" s="2" t="s">
        <v>734</v>
      </c>
      <c r="B4792" s="2" t="s">
        <v>1199</v>
      </c>
      <c r="C4792" s="5" t="s">
        <v>1067</v>
      </c>
      <c r="D4792" s="2" t="s">
        <v>6124</v>
      </c>
    </row>
    <row r="4793" spans="1:4" ht="13.05" customHeight="1" x14ac:dyDescent="0.3">
      <c r="A4793" s="2" t="s">
        <v>734</v>
      </c>
      <c r="B4793" s="2" t="s">
        <v>1199</v>
      </c>
      <c r="C4793" s="5" t="s">
        <v>1069</v>
      </c>
      <c r="D4793" s="2" t="s">
        <v>6145</v>
      </c>
    </row>
    <row r="4794" spans="1:4" ht="13.05" customHeight="1" x14ac:dyDescent="0.3">
      <c r="A4794" s="2" t="s">
        <v>734</v>
      </c>
      <c r="B4794" s="2" t="s">
        <v>1199</v>
      </c>
      <c r="C4794" s="5" t="s">
        <v>1071</v>
      </c>
      <c r="D4794" s="2" t="s">
        <v>6126</v>
      </c>
    </row>
    <row r="4795" spans="1:4" ht="13.05" customHeight="1" x14ac:dyDescent="0.3">
      <c r="A4795" s="2" t="s">
        <v>734</v>
      </c>
      <c r="B4795" s="2" t="s">
        <v>1199</v>
      </c>
      <c r="C4795" s="5" t="s">
        <v>1073</v>
      </c>
      <c r="D4795" s="2" t="s">
        <v>6127</v>
      </c>
    </row>
    <row r="4796" spans="1:4" ht="13.05" customHeight="1" x14ac:dyDescent="0.3">
      <c r="A4796" s="2" t="s">
        <v>734</v>
      </c>
      <c r="B4796" s="2" t="s">
        <v>1199</v>
      </c>
      <c r="C4796" s="5" t="s">
        <v>1075</v>
      </c>
      <c r="D4796" s="2" t="s">
        <v>6146</v>
      </c>
    </row>
    <row r="4797" spans="1:4" ht="13.05" customHeight="1" x14ac:dyDescent="0.3">
      <c r="A4797" s="2" t="s">
        <v>734</v>
      </c>
      <c r="B4797" s="2" t="s">
        <v>1199</v>
      </c>
      <c r="C4797" s="5" t="s">
        <v>1077</v>
      </c>
      <c r="D4797" s="2" t="s">
        <v>6147</v>
      </c>
    </row>
    <row r="4798" spans="1:4" ht="13.05" customHeight="1" x14ac:dyDescent="0.3">
      <c r="A4798" s="2" t="s">
        <v>734</v>
      </c>
      <c r="B4798" s="2" t="s">
        <v>1199</v>
      </c>
      <c r="C4798" s="5" t="s">
        <v>1079</v>
      </c>
      <c r="D4798" s="2" t="s">
        <v>1048</v>
      </c>
    </row>
    <row r="4799" spans="1:4" ht="13.05" customHeight="1" x14ac:dyDescent="0.3">
      <c r="A4799" s="2" t="s">
        <v>734</v>
      </c>
      <c r="B4799" s="2" t="s">
        <v>1199</v>
      </c>
      <c r="C4799" s="5" t="s">
        <v>1081</v>
      </c>
      <c r="D4799" s="2" t="s">
        <v>6148</v>
      </c>
    </row>
    <row r="4800" spans="1:4" ht="13.05" customHeight="1" x14ac:dyDescent="0.3">
      <c r="A4800" s="2" t="s">
        <v>734</v>
      </c>
      <c r="B4800" s="2" t="s">
        <v>1199</v>
      </c>
      <c r="C4800" s="5" t="s">
        <v>1222</v>
      </c>
      <c r="D4800" s="2" t="s">
        <v>6132</v>
      </c>
    </row>
    <row r="4801" spans="1:4" ht="13.05" customHeight="1" x14ac:dyDescent="0.3">
      <c r="A4801" s="2" t="s">
        <v>734</v>
      </c>
      <c r="B4801" s="2" t="s">
        <v>1199</v>
      </c>
      <c r="C4801" s="5" t="s">
        <v>1052</v>
      </c>
      <c r="D4801" s="2" t="s">
        <v>6149</v>
      </c>
    </row>
    <row r="4802" spans="1:4" ht="13.05" customHeight="1" x14ac:dyDescent="0.3">
      <c r="A4802" s="2" t="s">
        <v>736</v>
      </c>
      <c r="B4802" s="2" t="s">
        <v>1199</v>
      </c>
      <c r="C4802" s="5" t="s">
        <v>1044</v>
      </c>
      <c r="D4802" s="2" t="s">
        <v>1045</v>
      </c>
    </row>
    <row r="4803" spans="1:4" ht="13.05" customHeight="1" x14ac:dyDescent="0.3">
      <c r="A4803" s="2" t="s">
        <v>736</v>
      </c>
      <c r="B4803" s="2" t="s">
        <v>1199</v>
      </c>
      <c r="C4803" s="5" t="s">
        <v>1015</v>
      </c>
      <c r="D4803" s="2" t="s">
        <v>1092</v>
      </c>
    </row>
    <row r="4804" spans="1:4" ht="13.05" customHeight="1" x14ac:dyDescent="0.3">
      <c r="A4804" s="2" t="s">
        <v>736</v>
      </c>
      <c r="B4804" s="2" t="s">
        <v>1199</v>
      </c>
      <c r="C4804" s="5" t="s">
        <v>1017</v>
      </c>
      <c r="D4804" s="2" t="s">
        <v>1086</v>
      </c>
    </row>
    <row r="4805" spans="1:4" ht="13.05" customHeight="1" x14ac:dyDescent="0.3">
      <c r="A4805" s="2" t="s">
        <v>736</v>
      </c>
      <c r="B4805" s="2" t="s">
        <v>1199</v>
      </c>
      <c r="C4805" s="5" t="s">
        <v>1019</v>
      </c>
      <c r="D4805" s="2" t="s">
        <v>1020</v>
      </c>
    </row>
    <row r="4806" spans="1:4" ht="13.05" customHeight="1" x14ac:dyDescent="0.3">
      <c r="A4806" s="2" t="s">
        <v>736</v>
      </c>
      <c r="B4806" s="2" t="s">
        <v>1199</v>
      </c>
      <c r="C4806" s="5" t="s">
        <v>1021</v>
      </c>
      <c r="D4806" s="2" t="s">
        <v>890</v>
      </c>
    </row>
    <row r="4807" spans="1:4" ht="13.05" customHeight="1" x14ac:dyDescent="0.3">
      <c r="A4807" s="2" t="s">
        <v>736</v>
      </c>
      <c r="B4807" s="2" t="s">
        <v>1199</v>
      </c>
      <c r="C4807" s="5" t="s">
        <v>1023</v>
      </c>
      <c r="D4807" s="2" t="s">
        <v>6137</v>
      </c>
    </row>
    <row r="4808" spans="1:4" ht="13.05" customHeight="1" x14ac:dyDescent="0.3">
      <c r="A4808" s="2" t="s">
        <v>736</v>
      </c>
      <c r="B4808" s="2" t="s">
        <v>1199</v>
      </c>
      <c r="C4808" s="5" t="s">
        <v>1025</v>
      </c>
      <c r="D4808" s="2" t="s">
        <v>6116</v>
      </c>
    </row>
    <row r="4809" spans="1:4" ht="13.05" customHeight="1" x14ac:dyDescent="0.3">
      <c r="A4809" s="2" t="s">
        <v>736</v>
      </c>
      <c r="B4809" s="2" t="s">
        <v>1199</v>
      </c>
      <c r="C4809" s="5" t="s">
        <v>1027</v>
      </c>
      <c r="D4809" s="2" t="s">
        <v>6117</v>
      </c>
    </row>
    <row r="4810" spans="1:4" ht="13.05" customHeight="1" x14ac:dyDescent="0.3">
      <c r="A4810" s="2" t="s">
        <v>736</v>
      </c>
      <c r="B4810" s="2" t="s">
        <v>1199</v>
      </c>
      <c r="C4810" s="5" t="s">
        <v>1029</v>
      </c>
      <c r="D4810" s="2" t="s">
        <v>6138</v>
      </c>
    </row>
    <row r="4811" spans="1:4" ht="13.05" customHeight="1" x14ac:dyDescent="0.3">
      <c r="A4811" s="2" t="s">
        <v>736</v>
      </c>
      <c r="B4811" s="2" t="s">
        <v>1199</v>
      </c>
      <c r="C4811" s="5" t="s">
        <v>1031</v>
      </c>
      <c r="D4811" s="2" t="s">
        <v>6139</v>
      </c>
    </row>
    <row r="4812" spans="1:4" ht="13.05" customHeight="1" x14ac:dyDescent="0.3">
      <c r="A4812" s="2" t="s">
        <v>736</v>
      </c>
      <c r="B4812" s="2" t="s">
        <v>1199</v>
      </c>
      <c r="C4812" s="5" t="s">
        <v>1040</v>
      </c>
      <c r="D4812" s="2" t="s">
        <v>6140</v>
      </c>
    </row>
    <row r="4813" spans="1:4" ht="13.05" customHeight="1" x14ac:dyDescent="0.3">
      <c r="A4813" s="2" t="s">
        <v>736</v>
      </c>
      <c r="B4813" s="2" t="s">
        <v>1199</v>
      </c>
      <c r="C4813" s="5" t="s">
        <v>1042</v>
      </c>
      <c r="D4813" s="2" t="s">
        <v>6141</v>
      </c>
    </row>
    <row r="4814" spans="1:4" ht="13.05" customHeight="1" x14ac:dyDescent="0.3">
      <c r="A4814" s="2" t="s">
        <v>736</v>
      </c>
      <c r="B4814" s="2" t="s">
        <v>1199</v>
      </c>
      <c r="C4814" s="5" t="s">
        <v>1061</v>
      </c>
      <c r="D4814" s="2" t="s">
        <v>6142</v>
      </c>
    </row>
    <row r="4815" spans="1:4" ht="13.05" customHeight="1" x14ac:dyDescent="0.3">
      <c r="A4815" s="2" t="s">
        <v>736</v>
      </c>
      <c r="B4815" s="2" t="s">
        <v>1199</v>
      </c>
      <c r="C4815" s="5" t="s">
        <v>1063</v>
      </c>
      <c r="D4815" s="2" t="s">
        <v>6143</v>
      </c>
    </row>
    <row r="4816" spans="1:4" ht="13.05" customHeight="1" x14ac:dyDescent="0.3">
      <c r="A4816" s="2" t="s">
        <v>736</v>
      </c>
      <c r="B4816" s="2" t="s">
        <v>1199</v>
      </c>
      <c r="C4816" s="5" t="s">
        <v>1065</v>
      </c>
      <c r="D4816" s="2" t="s">
        <v>6144</v>
      </c>
    </row>
    <row r="4817" spans="1:4" ht="13.05" customHeight="1" x14ac:dyDescent="0.3">
      <c r="A4817" s="2" t="s">
        <v>736</v>
      </c>
      <c r="B4817" s="2" t="s">
        <v>1199</v>
      </c>
      <c r="C4817" s="5" t="s">
        <v>1067</v>
      </c>
      <c r="D4817" s="2" t="s">
        <v>6124</v>
      </c>
    </row>
    <row r="4818" spans="1:4" ht="13.05" customHeight="1" x14ac:dyDescent="0.3">
      <c r="A4818" s="2" t="s">
        <v>736</v>
      </c>
      <c r="B4818" s="2" t="s">
        <v>1199</v>
      </c>
      <c r="C4818" s="5" t="s">
        <v>1069</v>
      </c>
      <c r="D4818" s="2" t="s">
        <v>6145</v>
      </c>
    </row>
    <row r="4819" spans="1:4" ht="13.05" customHeight="1" x14ac:dyDescent="0.3">
      <c r="A4819" s="2" t="s">
        <v>736</v>
      </c>
      <c r="B4819" s="2" t="s">
        <v>1199</v>
      </c>
      <c r="C4819" s="5" t="s">
        <v>1071</v>
      </c>
      <c r="D4819" s="2" t="s">
        <v>6126</v>
      </c>
    </row>
    <row r="4820" spans="1:4" ht="13.05" customHeight="1" x14ac:dyDescent="0.3">
      <c r="A4820" s="2" t="s">
        <v>736</v>
      </c>
      <c r="B4820" s="2" t="s">
        <v>1199</v>
      </c>
      <c r="C4820" s="5" t="s">
        <v>1073</v>
      </c>
      <c r="D4820" s="2" t="s">
        <v>6127</v>
      </c>
    </row>
    <row r="4821" spans="1:4" ht="13.05" customHeight="1" x14ac:dyDescent="0.3">
      <c r="A4821" s="2" t="s">
        <v>736</v>
      </c>
      <c r="B4821" s="2" t="s">
        <v>1199</v>
      </c>
      <c r="C4821" s="5" t="s">
        <v>1075</v>
      </c>
      <c r="D4821" s="2" t="s">
        <v>6146</v>
      </c>
    </row>
    <row r="4822" spans="1:4" ht="13.05" customHeight="1" x14ac:dyDescent="0.3">
      <c r="A4822" s="2" t="s">
        <v>736</v>
      </c>
      <c r="B4822" s="2" t="s">
        <v>1199</v>
      </c>
      <c r="C4822" s="5" t="s">
        <v>1077</v>
      </c>
      <c r="D4822" s="2" t="s">
        <v>6147</v>
      </c>
    </row>
    <row r="4823" spans="1:4" ht="13.05" customHeight="1" x14ac:dyDescent="0.3">
      <c r="A4823" s="2" t="s">
        <v>736</v>
      </c>
      <c r="B4823" s="2" t="s">
        <v>1199</v>
      </c>
      <c r="C4823" s="5" t="s">
        <v>1079</v>
      </c>
      <c r="D4823" s="2" t="s">
        <v>1048</v>
      </c>
    </row>
    <row r="4824" spans="1:4" ht="13.05" customHeight="1" x14ac:dyDescent="0.3">
      <c r="A4824" s="2" t="s">
        <v>736</v>
      </c>
      <c r="B4824" s="2" t="s">
        <v>1199</v>
      </c>
      <c r="C4824" s="5" t="s">
        <v>1081</v>
      </c>
      <c r="D4824" s="2" t="s">
        <v>6148</v>
      </c>
    </row>
    <row r="4825" spans="1:4" ht="13.05" customHeight="1" x14ac:dyDescent="0.3">
      <c r="A4825" s="2" t="s">
        <v>736</v>
      </c>
      <c r="B4825" s="2" t="s">
        <v>1199</v>
      </c>
      <c r="C4825" s="5" t="s">
        <v>1222</v>
      </c>
      <c r="D4825" s="2" t="s">
        <v>6132</v>
      </c>
    </row>
    <row r="4826" spans="1:4" ht="13.05" customHeight="1" x14ac:dyDescent="0.3">
      <c r="A4826" s="2" t="s">
        <v>736</v>
      </c>
      <c r="B4826" s="2" t="s">
        <v>1199</v>
      </c>
      <c r="C4826" s="5" t="s">
        <v>1052</v>
      </c>
      <c r="D4826" s="2" t="s">
        <v>6149</v>
      </c>
    </row>
    <row r="4827" spans="1:4" ht="13.05" customHeight="1" x14ac:dyDescent="0.3">
      <c r="A4827" s="2" t="s">
        <v>738</v>
      </c>
      <c r="B4827" s="2" t="s">
        <v>1199</v>
      </c>
      <c r="C4827" s="5" t="s">
        <v>1044</v>
      </c>
      <c r="D4827" s="2" t="s">
        <v>1045</v>
      </c>
    </row>
    <row r="4828" spans="1:4" ht="13.05" customHeight="1" x14ac:dyDescent="0.3">
      <c r="A4828" s="2" t="s">
        <v>738</v>
      </c>
      <c r="B4828" s="2" t="s">
        <v>1199</v>
      </c>
      <c r="C4828" s="5" t="s">
        <v>1015</v>
      </c>
      <c r="D4828" s="2" t="s">
        <v>1092</v>
      </c>
    </row>
    <row r="4829" spans="1:4" ht="13.05" customHeight="1" x14ac:dyDescent="0.3">
      <c r="A4829" s="2" t="s">
        <v>738</v>
      </c>
      <c r="B4829" s="2" t="s">
        <v>1199</v>
      </c>
      <c r="C4829" s="5" t="s">
        <v>1017</v>
      </c>
      <c r="D4829" s="2" t="s">
        <v>1086</v>
      </c>
    </row>
    <row r="4830" spans="1:4" ht="13.05" customHeight="1" x14ac:dyDescent="0.3">
      <c r="A4830" s="2" t="s">
        <v>738</v>
      </c>
      <c r="B4830" s="2" t="s">
        <v>1199</v>
      </c>
      <c r="C4830" s="5" t="s">
        <v>1019</v>
      </c>
      <c r="D4830" s="2" t="s">
        <v>1020</v>
      </c>
    </row>
    <row r="4831" spans="1:4" ht="13.05" customHeight="1" x14ac:dyDescent="0.3">
      <c r="A4831" s="2" t="s">
        <v>738</v>
      </c>
      <c r="B4831" s="2" t="s">
        <v>1199</v>
      </c>
      <c r="C4831" s="5" t="s">
        <v>1021</v>
      </c>
      <c r="D4831" s="2" t="s">
        <v>890</v>
      </c>
    </row>
    <row r="4832" spans="1:4" ht="13.05" customHeight="1" x14ac:dyDescent="0.3">
      <c r="A4832" s="2" t="s">
        <v>738</v>
      </c>
      <c r="B4832" s="2" t="s">
        <v>1199</v>
      </c>
      <c r="C4832" s="5" t="s">
        <v>1023</v>
      </c>
      <c r="D4832" s="2" t="s">
        <v>6137</v>
      </c>
    </row>
    <row r="4833" spans="1:4" ht="13.05" customHeight="1" x14ac:dyDescent="0.3">
      <c r="A4833" s="2" t="s">
        <v>738</v>
      </c>
      <c r="B4833" s="2" t="s">
        <v>1199</v>
      </c>
      <c r="C4833" s="5" t="s">
        <v>1025</v>
      </c>
      <c r="D4833" s="2" t="s">
        <v>6116</v>
      </c>
    </row>
    <row r="4834" spans="1:4" ht="13.05" customHeight="1" x14ac:dyDescent="0.3">
      <c r="A4834" s="2" t="s">
        <v>738</v>
      </c>
      <c r="B4834" s="2" t="s">
        <v>1199</v>
      </c>
      <c r="C4834" s="5" t="s">
        <v>1027</v>
      </c>
      <c r="D4834" s="2" t="s">
        <v>6117</v>
      </c>
    </row>
    <row r="4835" spans="1:4" ht="13.05" customHeight="1" x14ac:dyDescent="0.3">
      <c r="A4835" s="2" t="s">
        <v>738</v>
      </c>
      <c r="B4835" s="2" t="s">
        <v>1199</v>
      </c>
      <c r="C4835" s="5" t="s">
        <v>1029</v>
      </c>
      <c r="D4835" s="2" t="s">
        <v>6138</v>
      </c>
    </row>
    <row r="4836" spans="1:4" ht="13.05" customHeight="1" x14ac:dyDescent="0.3">
      <c r="A4836" s="2" t="s">
        <v>738</v>
      </c>
      <c r="B4836" s="2" t="s">
        <v>1199</v>
      </c>
      <c r="C4836" s="5" t="s">
        <v>1031</v>
      </c>
      <c r="D4836" s="2" t="s">
        <v>6139</v>
      </c>
    </row>
    <row r="4837" spans="1:4" ht="13.05" customHeight="1" x14ac:dyDescent="0.3">
      <c r="A4837" s="2" t="s">
        <v>738</v>
      </c>
      <c r="B4837" s="2" t="s">
        <v>1199</v>
      </c>
      <c r="C4837" s="5" t="s">
        <v>1040</v>
      </c>
      <c r="D4837" s="2" t="s">
        <v>6140</v>
      </c>
    </row>
    <row r="4838" spans="1:4" ht="13.05" customHeight="1" x14ac:dyDescent="0.3">
      <c r="A4838" s="2" t="s">
        <v>738</v>
      </c>
      <c r="B4838" s="2" t="s">
        <v>1199</v>
      </c>
      <c r="C4838" s="5" t="s">
        <v>1042</v>
      </c>
      <c r="D4838" s="2" t="s">
        <v>6141</v>
      </c>
    </row>
    <row r="4839" spans="1:4" ht="13.05" customHeight="1" x14ac:dyDescent="0.3">
      <c r="A4839" s="2" t="s">
        <v>738</v>
      </c>
      <c r="B4839" s="2" t="s">
        <v>1199</v>
      </c>
      <c r="C4839" s="5" t="s">
        <v>1061</v>
      </c>
      <c r="D4839" s="2" t="s">
        <v>6142</v>
      </c>
    </row>
    <row r="4840" spans="1:4" ht="13.05" customHeight="1" x14ac:dyDescent="0.3">
      <c r="A4840" s="2" t="s">
        <v>738</v>
      </c>
      <c r="B4840" s="2" t="s">
        <v>1199</v>
      </c>
      <c r="C4840" s="5" t="s">
        <v>1063</v>
      </c>
      <c r="D4840" s="2" t="s">
        <v>6143</v>
      </c>
    </row>
    <row r="4841" spans="1:4" ht="13.05" customHeight="1" x14ac:dyDescent="0.3">
      <c r="A4841" s="2" t="s">
        <v>738</v>
      </c>
      <c r="B4841" s="2" t="s">
        <v>1199</v>
      </c>
      <c r="C4841" s="5" t="s">
        <v>1065</v>
      </c>
      <c r="D4841" s="2" t="s">
        <v>6144</v>
      </c>
    </row>
    <row r="4842" spans="1:4" ht="13.05" customHeight="1" x14ac:dyDescent="0.3">
      <c r="A4842" s="2" t="s">
        <v>738</v>
      </c>
      <c r="B4842" s="2" t="s">
        <v>1199</v>
      </c>
      <c r="C4842" s="5" t="s">
        <v>1067</v>
      </c>
      <c r="D4842" s="2" t="s">
        <v>6124</v>
      </c>
    </row>
    <row r="4843" spans="1:4" ht="13.05" customHeight="1" x14ac:dyDescent="0.3">
      <c r="A4843" s="2" t="s">
        <v>738</v>
      </c>
      <c r="B4843" s="2" t="s">
        <v>1199</v>
      </c>
      <c r="C4843" s="5" t="s">
        <v>1069</v>
      </c>
      <c r="D4843" s="2" t="s">
        <v>6145</v>
      </c>
    </row>
    <row r="4844" spans="1:4" ht="13.05" customHeight="1" x14ac:dyDescent="0.3">
      <c r="A4844" s="2" t="s">
        <v>738</v>
      </c>
      <c r="B4844" s="2" t="s">
        <v>1199</v>
      </c>
      <c r="C4844" s="5" t="s">
        <v>1071</v>
      </c>
      <c r="D4844" s="2" t="s">
        <v>6126</v>
      </c>
    </row>
    <row r="4845" spans="1:4" ht="13.05" customHeight="1" x14ac:dyDescent="0.3">
      <c r="A4845" s="2" t="s">
        <v>738</v>
      </c>
      <c r="B4845" s="2" t="s">
        <v>1199</v>
      </c>
      <c r="C4845" s="5" t="s">
        <v>1073</v>
      </c>
      <c r="D4845" s="2" t="s">
        <v>6127</v>
      </c>
    </row>
    <row r="4846" spans="1:4" ht="13.05" customHeight="1" x14ac:dyDescent="0.3">
      <c r="A4846" s="2" t="s">
        <v>738</v>
      </c>
      <c r="B4846" s="2" t="s">
        <v>1199</v>
      </c>
      <c r="C4846" s="5" t="s">
        <v>1075</v>
      </c>
      <c r="D4846" s="2" t="s">
        <v>6146</v>
      </c>
    </row>
    <row r="4847" spans="1:4" ht="13.05" customHeight="1" x14ac:dyDescent="0.3">
      <c r="A4847" s="2" t="s">
        <v>738</v>
      </c>
      <c r="B4847" s="2" t="s">
        <v>1199</v>
      </c>
      <c r="C4847" s="5" t="s">
        <v>1077</v>
      </c>
      <c r="D4847" s="2" t="s">
        <v>6147</v>
      </c>
    </row>
    <row r="4848" spans="1:4" ht="13.05" customHeight="1" x14ac:dyDescent="0.3">
      <c r="A4848" s="2" t="s">
        <v>738</v>
      </c>
      <c r="B4848" s="2" t="s">
        <v>1199</v>
      </c>
      <c r="C4848" s="5" t="s">
        <v>1079</v>
      </c>
      <c r="D4848" s="2" t="s">
        <v>1048</v>
      </c>
    </row>
    <row r="4849" spans="1:4" ht="13.05" customHeight="1" x14ac:dyDescent="0.3">
      <c r="A4849" s="2" t="s">
        <v>738</v>
      </c>
      <c r="B4849" s="2" t="s">
        <v>1199</v>
      </c>
      <c r="C4849" s="5" t="s">
        <v>1081</v>
      </c>
      <c r="D4849" s="2" t="s">
        <v>6148</v>
      </c>
    </row>
    <row r="4850" spans="1:4" ht="13.05" customHeight="1" x14ac:dyDescent="0.3">
      <c r="A4850" s="2" t="s">
        <v>738</v>
      </c>
      <c r="B4850" s="2" t="s">
        <v>1199</v>
      </c>
      <c r="C4850" s="5" t="s">
        <v>1222</v>
      </c>
      <c r="D4850" s="2" t="s">
        <v>6132</v>
      </c>
    </row>
    <row r="4851" spans="1:4" ht="13.05" customHeight="1" x14ac:dyDescent="0.3">
      <c r="A4851" s="2" t="s">
        <v>738</v>
      </c>
      <c r="B4851" s="2" t="s">
        <v>1199</v>
      </c>
      <c r="C4851" s="5" t="s">
        <v>1052</v>
      </c>
      <c r="D4851" s="2" t="s">
        <v>6149</v>
      </c>
    </row>
    <row r="4852" spans="1:4" ht="13.05" customHeight="1" x14ac:dyDescent="0.3">
      <c r="A4852" s="2" t="s">
        <v>740</v>
      </c>
      <c r="B4852" s="2" t="s">
        <v>1199</v>
      </c>
      <c r="C4852" s="5" t="s">
        <v>1044</v>
      </c>
      <c r="D4852" s="2" t="s">
        <v>1045</v>
      </c>
    </row>
    <row r="4853" spans="1:4" ht="13.05" customHeight="1" x14ac:dyDescent="0.3">
      <c r="A4853" s="2" t="s">
        <v>740</v>
      </c>
      <c r="B4853" s="2" t="s">
        <v>1199</v>
      </c>
      <c r="C4853" s="5" t="s">
        <v>1015</v>
      </c>
      <c r="D4853" s="2" t="s">
        <v>1092</v>
      </c>
    </row>
    <row r="4854" spans="1:4" ht="13.05" customHeight="1" x14ac:dyDescent="0.3">
      <c r="A4854" s="2" t="s">
        <v>740</v>
      </c>
      <c r="B4854" s="2" t="s">
        <v>1199</v>
      </c>
      <c r="C4854" s="5" t="s">
        <v>1017</v>
      </c>
      <c r="D4854" s="2" t="s">
        <v>1086</v>
      </c>
    </row>
    <row r="4855" spans="1:4" ht="13.05" customHeight="1" x14ac:dyDescent="0.3">
      <c r="A4855" s="2" t="s">
        <v>740</v>
      </c>
      <c r="B4855" s="2" t="s">
        <v>1199</v>
      </c>
      <c r="C4855" s="5" t="s">
        <v>1019</v>
      </c>
      <c r="D4855" s="2" t="s">
        <v>1020</v>
      </c>
    </row>
    <row r="4856" spans="1:4" ht="13.05" customHeight="1" x14ac:dyDescent="0.3">
      <c r="A4856" s="2" t="s">
        <v>740</v>
      </c>
      <c r="B4856" s="2" t="s">
        <v>1199</v>
      </c>
      <c r="C4856" s="5" t="s">
        <v>1021</v>
      </c>
      <c r="D4856" s="2" t="s">
        <v>890</v>
      </c>
    </row>
    <row r="4857" spans="1:4" ht="13.05" customHeight="1" x14ac:dyDescent="0.3">
      <c r="A4857" s="2" t="s">
        <v>740</v>
      </c>
      <c r="B4857" s="2" t="s">
        <v>1199</v>
      </c>
      <c r="C4857" s="5" t="s">
        <v>1023</v>
      </c>
      <c r="D4857" s="2" t="s">
        <v>6137</v>
      </c>
    </row>
    <row r="4858" spans="1:4" ht="13.05" customHeight="1" x14ac:dyDescent="0.3">
      <c r="A4858" s="2" t="s">
        <v>740</v>
      </c>
      <c r="B4858" s="2" t="s">
        <v>1199</v>
      </c>
      <c r="C4858" s="5" t="s">
        <v>1025</v>
      </c>
      <c r="D4858" s="2" t="s">
        <v>6116</v>
      </c>
    </row>
    <row r="4859" spans="1:4" ht="13.05" customHeight="1" x14ac:dyDescent="0.3">
      <c r="A4859" s="2" t="s">
        <v>740</v>
      </c>
      <c r="B4859" s="2" t="s">
        <v>1199</v>
      </c>
      <c r="C4859" s="5" t="s">
        <v>1027</v>
      </c>
      <c r="D4859" s="2" t="s">
        <v>6117</v>
      </c>
    </row>
    <row r="4860" spans="1:4" ht="13.05" customHeight="1" x14ac:dyDescent="0.3">
      <c r="A4860" s="2" t="s">
        <v>740</v>
      </c>
      <c r="B4860" s="2" t="s">
        <v>1199</v>
      </c>
      <c r="C4860" s="5" t="s">
        <v>1029</v>
      </c>
      <c r="D4860" s="2" t="s">
        <v>6138</v>
      </c>
    </row>
    <row r="4861" spans="1:4" ht="13.05" customHeight="1" x14ac:dyDescent="0.3">
      <c r="A4861" s="2" t="s">
        <v>740</v>
      </c>
      <c r="B4861" s="2" t="s">
        <v>1199</v>
      </c>
      <c r="C4861" s="5" t="s">
        <v>1031</v>
      </c>
      <c r="D4861" s="2" t="s">
        <v>6139</v>
      </c>
    </row>
    <row r="4862" spans="1:4" ht="13.05" customHeight="1" x14ac:dyDescent="0.3">
      <c r="A4862" s="2" t="s">
        <v>740</v>
      </c>
      <c r="B4862" s="2" t="s">
        <v>1199</v>
      </c>
      <c r="C4862" s="5" t="s">
        <v>1040</v>
      </c>
      <c r="D4862" s="2" t="s">
        <v>6140</v>
      </c>
    </row>
    <row r="4863" spans="1:4" ht="13.05" customHeight="1" x14ac:dyDescent="0.3">
      <c r="A4863" s="2" t="s">
        <v>740</v>
      </c>
      <c r="B4863" s="2" t="s">
        <v>1199</v>
      </c>
      <c r="C4863" s="5" t="s">
        <v>1042</v>
      </c>
      <c r="D4863" s="2" t="s">
        <v>6141</v>
      </c>
    </row>
    <row r="4864" spans="1:4" ht="13.05" customHeight="1" x14ac:dyDescent="0.3">
      <c r="A4864" s="2" t="s">
        <v>740</v>
      </c>
      <c r="B4864" s="2" t="s">
        <v>1199</v>
      </c>
      <c r="C4864" s="5" t="s">
        <v>1061</v>
      </c>
      <c r="D4864" s="2" t="s">
        <v>6142</v>
      </c>
    </row>
    <row r="4865" spans="1:4" ht="13.05" customHeight="1" x14ac:dyDescent="0.3">
      <c r="A4865" s="2" t="s">
        <v>740</v>
      </c>
      <c r="B4865" s="2" t="s">
        <v>1199</v>
      </c>
      <c r="C4865" s="5" t="s">
        <v>1063</v>
      </c>
      <c r="D4865" s="2" t="s">
        <v>6143</v>
      </c>
    </row>
    <row r="4866" spans="1:4" ht="13.05" customHeight="1" x14ac:dyDescent="0.3">
      <c r="A4866" s="2" t="s">
        <v>740</v>
      </c>
      <c r="B4866" s="2" t="s">
        <v>1199</v>
      </c>
      <c r="C4866" s="5" t="s">
        <v>1065</v>
      </c>
      <c r="D4866" s="2" t="s">
        <v>6144</v>
      </c>
    </row>
    <row r="4867" spans="1:4" ht="13.05" customHeight="1" x14ac:dyDescent="0.3">
      <c r="A4867" s="2" t="s">
        <v>740</v>
      </c>
      <c r="B4867" s="2" t="s">
        <v>1199</v>
      </c>
      <c r="C4867" s="5" t="s">
        <v>1067</v>
      </c>
      <c r="D4867" s="2" t="s">
        <v>6124</v>
      </c>
    </row>
    <row r="4868" spans="1:4" ht="13.05" customHeight="1" x14ac:dyDescent="0.3">
      <c r="A4868" s="2" t="s">
        <v>740</v>
      </c>
      <c r="B4868" s="2" t="s">
        <v>1199</v>
      </c>
      <c r="C4868" s="5" t="s">
        <v>1069</v>
      </c>
      <c r="D4868" s="2" t="s">
        <v>6145</v>
      </c>
    </row>
    <row r="4869" spans="1:4" ht="13.05" customHeight="1" x14ac:dyDescent="0.3">
      <c r="A4869" s="2" t="s">
        <v>740</v>
      </c>
      <c r="B4869" s="2" t="s">
        <v>1199</v>
      </c>
      <c r="C4869" s="5" t="s">
        <v>1071</v>
      </c>
      <c r="D4869" s="2" t="s">
        <v>6126</v>
      </c>
    </row>
    <row r="4870" spans="1:4" ht="13.05" customHeight="1" x14ac:dyDescent="0.3">
      <c r="A4870" s="2" t="s">
        <v>740</v>
      </c>
      <c r="B4870" s="2" t="s">
        <v>1199</v>
      </c>
      <c r="C4870" s="5" t="s">
        <v>1073</v>
      </c>
      <c r="D4870" s="2" t="s">
        <v>6127</v>
      </c>
    </row>
    <row r="4871" spans="1:4" ht="13.05" customHeight="1" x14ac:dyDescent="0.3">
      <c r="A4871" s="2" t="s">
        <v>740</v>
      </c>
      <c r="B4871" s="2" t="s">
        <v>1199</v>
      </c>
      <c r="C4871" s="5" t="s">
        <v>1075</v>
      </c>
      <c r="D4871" s="2" t="s">
        <v>6146</v>
      </c>
    </row>
    <row r="4872" spans="1:4" ht="13.05" customHeight="1" x14ac:dyDescent="0.3">
      <c r="A4872" s="2" t="s">
        <v>740</v>
      </c>
      <c r="B4872" s="2" t="s">
        <v>1199</v>
      </c>
      <c r="C4872" s="5" t="s">
        <v>1077</v>
      </c>
      <c r="D4872" s="2" t="s">
        <v>6147</v>
      </c>
    </row>
    <row r="4873" spans="1:4" ht="13.05" customHeight="1" x14ac:dyDescent="0.3">
      <c r="A4873" s="2" t="s">
        <v>740</v>
      </c>
      <c r="B4873" s="2" t="s">
        <v>1199</v>
      </c>
      <c r="C4873" s="5" t="s">
        <v>1079</v>
      </c>
      <c r="D4873" s="2" t="s">
        <v>1048</v>
      </c>
    </row>
    <row r="4874" spans="1:4" ht="13.05" customHeight="1" x14ac:dyDescent="0.3">
      <c r="A4874" s="2" t="s">
        <v>740</v>
      </c>
      <c r="B4874" s="2" t="s">
        <v>1199</v>
      </c>
      <c r="C4874" s="5" t="s">
        <v>1081</v>
      </c>
      <c r="D4874" s="2" t="s">
        <v>6148</v>
      </c>
    </row>
    <row r="4875" spans="1:4" ht="13.05" customHeight="1" x14ac:dyDescent="0.3">
      <c r="A4875" s="2" t="s">
        <v>740</v>
      </c>
      <c r="B4875" s="2" t="s">
        <v>1199</v>
      </c>
      <c r="C4875" s="5" t="s">
        <v>1222</v>
      </c>
      <c r="D4875" s="2" t="s">
        <v>6132</v>
      </c>
    </row>
    <row r="4876" spans="1:4" ht="13.05" customHeight="1" x14ac:dyDescent="0.3">
      <c r="A4876" s="2" t="s">
        <v>740</v>
      </c>
      <c r="B4876" s="2" t="s">
        <v>1199</v>
      </c>
      <c r="C4876" s="5" t="s">
        <v>1052</v>
      </c>
      <c r="D4876" s="2" t="s">
        <v>6149</v>
      </c>
    </row>
    <row r="4877" spans="1:4" ht="13.05" customHeight="1" x14ac:dyDescent="0.3">
      <c r="A4877" s="2" t="s">
        <v>742</v>
      </c>
      <c r="B4877" s="2" t="s">
        <v>1199</v>
      </c>
      <c r="C4877" s="5" t="s">
        <v>1044</v>
      </c>
      <c r="D4877" s="2" t="s">
        <v>1045</v>
      </c>
    </row>
    <row r="4878" spans="1:4" ht="13.05" customHeight="1" x14ac:dyDescent="0.3">
      <c r="A4878" s="2" t="s">
        <v>742</v>
      </c>
      <c r="B4878" s="2" t="s">
        <v>1199</v>
      </c>
      <c r="C4878" s="5" t="s">
        <v>1015</v>
      </c>
      <c r="D4878" s="2" t="s">
        <v>1092</v>
      </c>
    </row>
    <row r="4879" spans="1:4" ht="13.05" customHeight="1" x14ac:dyDescent="0.3">
      <c r="A4879" s="2" t="s">
        <v>742</v>
      </c>
      <c r="B4879" s="2" t="s">
        <v>1199</v>
      </c>
      <c r="C4879" s="5" t="s">
        <v>1017</v>
      </c>
      <c r="D4879" s="2" t="s">
        <v>1086</v>
      </c>
    </row>
    <row r="4880" spans="1:4" ht="13.05" customHeight="1" x14ac:dyDescent="0.3">
      <c r="A4880" s="2" t="s">
        <v>742</v>
      </c>
      <c r="B4880" s="2" t="s">
        <v>1199</v>
      </c>
      <c r="C4880" s="5" t="s">
        <v>1019</v>
      </c>
      <c r="D4880" s="2" t="s">
        <v>1020</v>
      </c>
    </row>
    <row r="4881" spans="1:4" ht="13.05" customHeight="1" x14ac:dyDescent="0.3">
      <c r="A4881" s="2" t="s">
        <v>742</v>
      </c>
      <c r="B4881" s="2" t="s">
        <v>1199</v>
      </c>
      <c r="C4881" s="5" t="s">
        <v>1021</v>
      </c>
      <c r="D4881" s="2" t="s">
        <v>890</v>
      </c>
    </row>
    <row r="4882" spans="1:4" ht="13.05" customHeight="1" x14ac:dyDescent="0.3">
      <c r="A4882" s="2" t="s">
        <v>742</v>
      </c>
      <c r="B4882" s="2" t="s">
        <v>1199</v>
      </c>
      <c r="C4882" s="5" t="s">
        <v>1023</v>
      </c>
      <c r="D4882" s="2" t="s">
        <v>6137</v>
      </c>
    </row>
    <row r="4883" spans="1:4" ht="13.05" customHeight="1" x14ac:dyDescent="0.3">
      <c r="A4883" s="2" t="s">
        <v>742</v>
      </c>
      <c r="B4883" s="2" t="s">
        <v>1199</v>
      </c>
      <c r="C4883" s="5" t="s">
        <v>1025</v>
      </c>
      <c r="D4883" s="2" t="s">
        <v>6116</v>
      </c>
    </row>
    <row r="4884" spans="1:4" ht="13.05" customHeight="1" x14ac:dyDescent="0.3">
      <c r="A4884" s="2" t="s">
        <v>742</v>
      </c>
      <c r="B4884" s="2" t="s">
        <v>1199</v>
      </c>
      <c r="C4884" s="5" t="s">
        <v>1027</v>
      </c>
      <c r="D4884" s="2" t="s">
        <v>6117</v>
      </c>
    </row>
    <row r="4885" spans="1:4" ht="13.05" customHeight="1" x14ac:dyDescent="0.3">
      <c r="A4885" s="2" t="s">
        <v>742</v>
      </c>
      <c r="B4885" s="2" t="s">
        <v>1199</v>
      </c>
      <c r="C4885" s="5" t="s">
        <v>1029</v>
      </c>
      <c r="D4885" s="2" t="s">
        <v>6138</v>
      </c>
    </row>
    <row r="4886" spans="1:4" ht="13.05" customHeight="1" x14ac:dyDescent="0.3">
      <c r="A4886" s="2" t="s">
        <v>742</v>
      </c>
      <c r="B4886" s="2" t="s">
        <v>1199</v>
      </c>
      <c r="C4886" s="5" t="s">
        <v>1031</v>
      </c>
      <c r="D4886" s="2" t="s">
        <v>6139</v>
      </c>
    </row>
    <row r="4887" spans="1:4" ht="13.05" customHeight="1" x14ac:dyDescent="0.3">
      <c r="A4887" s="2" t="s">
        <v>742</v>
      </c>
      <c r="B4887" s="2" t="s">
        <v>1199</v>
      </c>
      <c r="C4887" s="5" t="s">
        <v>1040</v>
      </c>
      <c r="D4887" s="2" t="s">
        <v>6140</v>
      </c>
    </row>
    <row r="4888" spans="1:4" ht="13.05" customHeight="1" x14ac:dyDescent="0.3">
      <c r="A4888" s="2" t="s">
        <v>742</v>
      </c>
      <c r="B4888" s="2" t="s">
        <v>1199</v>
      </c>
      <c r="C4888" s="5" t="s">
        <v>1042</v>
      </c>
      <c r="D4888" s="2" t="s">
        <v>6141</v>
      </c>
    </row>
    <row r="4889" spans="1:4" ht="13.05" customHeight="1" x14ac:dyDescent="0.3">
      <c r="A4889" s="2" t="s">
        <v>742</v>
      </c>
      <c r="B4889" s="2" t="s">
        <v>1199</v>
      </c>
      <c r="C4889" s="5" t="s">
        <v>1061</v>
      </c>
      <c r="D4889" s="2" t="s">
        <v>6142</v>
      </c>
    </row>
    <row r="4890" spans="1:4" ht="13.05" customHeight="1" x14ac:dyDescent="0.3">
      <c r="A4890" s="2" t="s">
        <v>742</v>
      </c>
      <c r="B4890" s="2" t="s">
        <v>1199</v>
      </c>
      <c r="C4890" s="5" t="s">
        <v>1063</v>
      </c>
      <c r="D4890" s="2" t="s">
        <v>6143</v>
      </c>
    </row>
    <row r="4891" spans="1:4" ht="13.05" customHeight="1" x14ac:dyDescent="0.3">
      <c r="A4891" s="2" t="s">
        <v>742</v>
      </c>
      <c r="B4891" s="2" t="s">
        <v>1199</v>
      </c>
      <c r="C4891" s="5" t="s">
        <v>1065</v>
      </c>
      <c r="D4891" s="2" t="s">
        <v>6144</v>
      </c>
    </row>
    <row r="4892" spans="1:4" ht="13.05" customHeight="1" x14ac:dyDescent="0.3">
      <c r="A4892" s="2" t="s">
        <v>742</v>
      </c>
      <c r="B4892" s="2" t="s">
        <v>1199</v>
      </c>
      <c r="C4892" s="5" t="s">
        <v>1067</v>
      </c>
      <c r="D4892" s="2" t="s">
        <v>6124</v>
      </c>
    </row>
    <row r="4893" spans="1:4" ht="13.05" customHeight="1" x14ac:dyDescent="0.3">
      <c r="A4893" s="2" t="s">
        <v>742</v>
      </c>
      <c r="B4893" s="2" t="s">
        <v>1199</v>
      </c>
      <c r="C4893" s="5" t="s">
        <v>1069</v>
      </c>
      <c r="D4893" s="2" t="s">
        <v>6145</v>
      </c>
    </row>
    <row r="4894" spans="1:4" ht="13.05" customHeight="1" x14ac:dyDescent="0.3">
      <c r="A4894" s="2" t="s">
        <v>742</v>
      </c>
      <c r="B4894" s="2" t="s">
        <v>1199</v>
      </c>
      <c r="C4894" s="5" t="s">
        <v>1071</v>
      </c>
      <c r="D4894" s="2" t="s">
        <v>6126</v>
      </c>
    </row>
    <row r="4895" spans="1:4" ht="13.05" customHeight="1" x14ac:dyDescent="0.3">
      <c r="A4895" s="2" t="s">
        <v>742</v>
      </c>
      <c r="B4895" s="2" t="s">
        <v>1199</v>
      </c>
      <c r="C4895" s="5" t="s">
        <v>1073</v>
      </c>
      <c r="D4895" s="2" t="s">
        <v>6127</v>
      </c>
    </row>
    <row r="4896" spans="1:4" ht="13.05" customHeight="1" x14ac:dyDescent="0.3">
      <c r="A4896" s="2" t="s">
        <v>742</v>
      </c>
      <c r="B4896" s="2" t="s">
        <v>1199</v>
      </c>
      <c r="C4896" s="5" t="s">
        <v>1075</v>
      </c>
      <c r="D4896" s="2" t="s">
        <v>6146</v>
      </c>
    </row>
    <row r="4897" spans="1:4" ht="13.05" customHeight="1" x14ac:dyDescent="0.3">
      <c r="A4897" s="2" t="s">
        <v>742</v>
      </c>
      <c r="B4897" s="2" t="s">
        <v>1199</v>
      </c>
      <c r="C4897" s="5" t="s">
        <v>1077</v>
      </c>
      <c r="D4897" s="2" t="s">
        <v>6147</v>
      </c>
    </row>
    <row r="4898" spans="1:4" ht="13.05" customHeight="1" x14ac:dyDescent="0.3">
      <c r="A4898" s="2" t="s">
        <v>742</v>
      </c>
      <c r="B4898" s="2" t="s">
        <v>1199</v>
      </c>
      <c r="C4898" s="5" t="s">
        <v>1079</v>
      </c>
      <c r="D4898" s="2" t="s">
        <v>1048</v>
      </c>
    </row>
    <row r="4899" spans="1:4" ht="13.05" customHeight="1" x14ac:dyDescent="0.3">
      <c r="A4899" s="2" t="s">
        <v>742</v>
      </c>
      <c r="B4899" s="2" t="s">
        <v>1199</v>
      </c>
      <c r="C4899" s="5" t="s">
        <v>1081</v>
      </c>
      <c r="D4899" s="2" t="s">
        <v>6148</v>
      </c>
    </row>
    <row r="4900" spans="1:4" ht="13.05" customHeight="1" x14ac:dyDescent="0.3">
      <c r="A4900" s="2" t="s">
        <v>742</v>
      </c>
      <c r="B4900" s="2" t="s">
        <v>1199</v>
      </c>
      <c r="C4900" s="5" t="s">
        <v>1222</v>
      </c>
      <c r="D4900" s="2" t="s">
        <v>6132</v>
      </c>
    </row>
    <row r="4901" spans="1:4" ht="13.05" customHeight="1" x14ac:dyDescent="0.3">
      <c r="A4901" s="2" t="s">
        <v>742</v>
      </c>
      <c r="B4901" s="2" t="s">
        <v>1199</v>
      </c>
      <c r="C4901" s="5" t="s">
        <v>1052</v>
      </c>
      <c r="D4901" s="2" t="s">
        <v>6149</v>
      </c>
    </row>
    <row r="4902" spans="1:4" ht="13.05" customHeight="1" x14ac:dyDescent="0.3">
      <c r="A4902" s="2" t="s">
        <v>744</v>
      </c>
      <c r="B4902" s="2" t="s">
        <v>1199</v>
      </c>
      <c r="C4902" s="5" t="s">
        <v>1044</v>
      </c>
      <c r="D4902" s="2" t="s">
        <v>1045</v>
      </c>
    </row>
    <row r="4903" spans="1:4" ht="13.05" customHeight="1" x14ac:dyDescent="0.3">
      <c r="A4903" s="2" t="s">
        <v>744</v>
      </c>
      <c r="B4903" s="2" t="s">
        <v>1199</v>
      </c>
      <c r="C4903" s="5" t="s">
        <v>1015</v>
      </c>
      <c r="D4903" s="2" t="s">
        <v>1092</v>
      </c>
    </row>
    <row r="4904" spans="1:4" ht="13.05" customHeight="1" x14ac:dyDescent="0.3">
      <c r="A4904" s="2" t="s">
        <v>744</v>
      </c>
      <c r="B4904" s="2" t="s">
        <v>1199</v>
      </c>
      <c r="C4904" s="5" t="s">
        <v>1017</v>
      </c>
      <c r="D4904" s="2" t="s">
        <v>1086</v>
      </c>
    </row>
    <row r="4905" spans="1:4" ht="13.05" customHeight="1" x14ac:dyDescent="0.3">
      <c r="A4905" s="2" t="s">
        <v>744</v>
      </c>
      <c r="B4905" s="2" t="s">
        <v>1199</v>
      </c>
      <c r="C4905" s="5" t="s">
        <v>1019</v>
      </c>
      <c r="D4905" s="2" t="s">
        <v>1020</v>
      </c>
    </row>
    <row r="4906" spans="1:4" ht="13.05" customHeight="1" x14ac:dyDescent="0.3">
      <c r="A4906" s="2" t="s">
        <v>744</v>
      </c>
      <c r="B4906" s="2" t="s">
        <v>1199</v>
      </c>
      <c r="C4906" s="5" t="s">
        <v>1021</v>
      </c>
      <c r="D4906" s="2" t="s">
        <v>890</v>
      </c>
    </row>
    <row r="4907" spans="1:4" ht="13.05" customHeight="1" x14ac:dyDescent="0.3">
      <c r="A4907" s="2" t="s">
        <v>744</v>
      </c>
      <c r="B4907" s="2" t="s">
        <v>1199</v>
      </c>
      <c r="C4907" s="5" t="s">
        <v>1023</v>
      </c>
      <c r="D4907" s="2" t="s">
        <v>6137</v>
      </c>
    </row>
    <row r="4908" spans="1:4" ht="13.05" customHeight="1" x14ac:dyDescent="0.3">
      <c r="A4908" s="2" t="s">
        <v>744</v>
      </c>
      <c r="B4908" s="2" t="s">
        <v>1199</v>
      </c>
      <c r="C4908" s="5" t="s">
        <v>1025</v>
      </c>
      <c r="D4908" s="2" t="s">
        <v>6116</v>
      </c>
    </row>
    <row r="4909" spans="1:4" ht="13.05" customHeight="1" x14ac:dyDescent="0.3">
      <c r="A4909" s="2" t="s">
        <v>744</v>
      </c>
      <c r="B4909" s="2" t="s">
        <v>1199</v>
      </c>
      <c r="C4909" s="5" t="s">
        <v>1027</v>
      </c>
      <c r="D4909" s="2" t="s">
        <v>6117</v>
      </c>
    </row>
    <row r="4910" spans="1:4" ht="13.05" customHeight="1" x14ac:dyDescent="0.3">
      <c r="A4910" s="2" t="s">
        <v>744</v>
      </c>
      <c r="B4910" s="2" t="s">
        <v>1199</v>
      </c>
      <c r="C4910" s="5" t="s">
        <v>1029</v>
      </c>
      <c r="D4910" s="2" t="s">
        <v>6138</v>
      </c>
    </row>
    <row r="4911" spans="1:4" ht="13.05" customHeight="1" x14ac:dyDescent="0.3">
      <c r="A4911" s="2" t="s">
        <v>744</v>
      </c>
      <c r="B4911" s="2" t="s">
        <v>1199</v>
      </c>
      <c r="C4911" s="5" t="s">
        <v>1031</v>
      </c>
      <c r="D4911" s="2" t="s">
        <v>6139</v>
      </c>
    </row>
    <row r="4912" spans="1:4" ht="13.05" customHeight="1" x14ac:dyDescent="0.3">
      <c r="A4912" s="2" t="s">
        <v>744</v>
      </c>
      <c r="B4912" s="2" t="s">
        <v>1199</v>
      </c>
      <c r="C4912" s="5" t="s">
        <v>1040</v>
      </c>
      <c r="D4912" s="2" t="s">
        <v>6140</v>
      </c>
    </row>
    <row r="4913" spans="1:4" ht="13.05" customHeight="1" x14ac:dyDescent="0.3">
      <c r="A4913" s="2" t="s">
        <v>744</v>
      </c>
      <c r="B4913" s="2" t="s">
        <v>1199</v>
      </c>
      <c r="C4913" s="5" t="s">
        <v>1042</v>
      </c>
      <c r="D4913" s="2" t="s">
        <v>6141</v>
      </c>
    </row>
    <row r="4914" spans="1:4" ht="13.05" customHeight="1" x14ac:dyDescent="0.3">
      <c r="A4914" s="2" t="s">
        <v>744</v>
      </c>
      <c r="B4914" s="2" t="s">
        <v>1199</v>
      </c>
      <c r="C4914" s="5" t="s">
        <v>1061</v>
      </c>
      <c r="D4914" s="2" t="s">
        <v>6142</v>
      </c>
    </row>
    <row r="4915" spans="1:4" ht="13.05" customHeight="1" x14ac:dyDescent="0.3">
      <c r="A4915" s="2" t="s">
        <v>744</v>
      </c>
      <c r="B4915" s="2" t="s">
        <v>1199</v>
      </c>
      <c r="C4915" s="5" t="s">
        <v>1063</v>
      </c>
      <c r="D4915" s="2" t="s">
        <v>6143</v>
      </c>
    </row>
    <row r="4916" spans="1:4" ht="13.05" customHeight="1" x14ac:dyDescent="0.3">
      <c r="A4916" s="2" t="s">
        <v>744</v>
      </c>
      <c r="B4916" s="2" t="s">
        <v>1199</v>
      </c>
      <c r="C4916" s="5" t="s">
        <v>1065</v>
      </c>
      <c r="D4916" s="2" t="s">
        <v>6144</v>
      </c>
    </row>
    <row r="4917" spans="1:4" ht="13.05" customHeight="1" x14ac:dyDescent="0.3">
      <c r="A4917" s="2" t="s">
        <v>744</v>
      </c>
      <c r="B4917" s="2" t="s">
        <v>1199</v>
      </c>
      <c r="C4917" s="5" t="s">
        <v>1067</v>
      </c>
      <c r="D4917" s="2" t="s">
        <v>6124</v>
      </c>
    </row>
    <row r="4918" spans="1:4" ht="13.05" customHeight="1" x14ac:dyDescent="0.3">
      <c r="A4918" s="2" t="s">
        <v>744</v>
      </c>
      <c r="B4918" s="2" t="s">
        <v>1199</v>
      </c>
      <c r="C4918" s="5" t="s">
        <v>1069</v>
      </c>
      <c r="D4918" s="2" t="s">
        <v>6145</v>
      </c>
    </row>
    <row r="4919" spans="1:4" ht="13.05" customHeight="1" x14ac:dyDescent="0.3">
      <c r="A4919" s="2" t="s">
        <v>744</v>
      </c>
      <c r="B4919" s="2" t="s">
        <v>1199</v>
      </c>
      <c r="C4919" s="5" t="s">
        <v>1071</v>
      </c>
      <c r="D4919" s="2" t="s">
        <v>6126</v>
      </c>
    </row>
    <row r="4920" spans="1:4" ht="13.05" customHeight="1" x14ac:dyDescent="0.3">
      <c r="A4920" s="2" t="s">
        <v>744</v>
      </c>
      <c r="B4920" s="2" t="s">
        <v>1199</v>
      </c>
      <c r="C4920" s="5" t="s">
        <v>1073</v>
      </c>
      <c r="D4920" s="2" t="s">
        <v>6127</v>
      </c>
    </row>
    <row r="4921" spans="1:4" ht="13.05" customHeight="1" x14ac:dyDescent="0.3">
      <c r="A4921" s="2" t="s">
        <v>744</v>
      </c>
      <c r="B4921" s="2" t="s">
        <v>1199</v>
      </c>
      <c r="C4921" s="5" t="s">
        <v>1075</v>
      </c>
      <c r="D4921" s="2" t="s">
        <v>6146</v>
      </c>
    </row>
    <row r="4922" spans="1:4" ht="13.05" customHeight="1" x14ac:dyDescent="0.3">
      <c r="A4922" s="2" t="s">
        <v>744</v>
      </c>
      <c r="B4922" s="2" t="s">
        <v>1199</v>
      </c>
      <c r="C4922" s="5" t="s">
        <v>1077</v>
      </c>
      <c r="D4922" s="2" t="s">
        <v>6147</v>
      </c>
    </row>
    <row r="4923" spans="1:4" ht="13.05" customHeight="1" x14ac:dyDescent="0.3">
      <c r="A4923" s="2" t="s">
        <v>744</v>
      </c>
      <c r="B4923" s="2" t="s">
        <v>1199</v>
      </c>
      <c r="C4923" s="5" t="s">
        <v>1079</v>
      </c>
      <c r="D4923" s="2" t="s">
        <v>1048</v>
      </c>
    </row>
    <row r="4924" spans="1:4" ht="13.05" customHeight="1" x14ac:dyDescent="0.3">
      <c r="A4924" s="2" t="s">
        <v>744</v>
      </c>
      <c r="B4924" s="2" t="s">
        <v>1199</v>
      </c>
      <c r="C4924" s="5" t="s">
        <v>1081</v>
      </c>
      <c r="D4924" s="2" t="s">
        <v>6148</v>
      </c>
    </row>
    <row r="4925" spans="1:4" ht="13.05" customHeight="1" x14ac:dyDescent="0.3">
      <c r="A4925" s="2" t="s">
        <v>744</v>
      </c>
      <c r="B4925" s="2" t="s">
        <v>1199</v>
      </c>
      <c r="C4925" s="5" t="s">
        <v>1222</v>
      </c>
      <c r="D4925" s="2" t="s">
        <v>6132</v>
      </c>
    </row>
    <row r="4926" spans="1:4" ht="13.05" customHeight="1" x14ac:dyDescent="0.3">
      <c r="A4926" s="2" t="s">
        <v>744</v>
      </c>
      <c r="B4926" s="2" t="s">
        <v>1199</v>
      </c>
      <c r="C4926" s="5" t="s">
        <v>1052</v>
      </c>
      <c r="D4926" s="2" t="s">
        <v>6149</v>
      </c>
    </row>
    <row r="4927" spans="1:4" ht="13.05" customHeight="1" x14ac:dyDescent="0.3">
      <c r="A4927" s="2" t="s">
        <v>746</v>
      </c>
      <c r="B4927" s="2" t="s">
        <v>1199</v>
      </c>
      <c r="C4927" s="5" t="s">
        <v>1044</v>
      </c>
      <c r="D4927" s="2" t="s">
        <v>1045</v>
      </c>
    </row>
    <row r="4928" spans="1:4" ht="13.05" customHeight="1" x14ac:dyDescent="0.3">
      <c r="A4928" s="2" t="s">
        <v>746</v>
      </c>
      <c r="B4928" s="2" t="s">
        <v>1199</v>
      </c>
      <c r="C4928" s="5" t="s">
        <v>1015</v>
      </c>
      <c r="D4928" s="2" t="s">
        <v>1092</v>
      </c>
    </row>
    <row r="4929" spans="1:4" ht="13.05" customHeight="1" x14ac:dyDescent="0.3">
      <c r="A4929" s="2" t="s">
        <v>746</v>
      </c>
      <c r="B4929" s="2" t="s">
        <v>1199</v>
      </c>
      <c r="C4929" s="5" t="s">
        <v>1017</v>
      </c>
      <c r="D4929" s="2" t="s">
        <v>1086</v>
      </c>
    </row>
    <row r="4930" spans="1:4" ht="13.05" customHeight="1" x14ac:dyDescent="0.3">
      <c r="A4930" s="2" t="s">
        <v>746</v>
      </c>
      <c r="B4930" s="2" t="s">
        <v>1199</v>
      </c>
      <c r="C4930" s="5" t="s">
        <v>1019</v>
      </c>
      <c r="D4930" s="2" t="s">
        <v>1020</v>
      </c>
    </row>
    <row r="4931" spans="1:4" ht="13.05" customHeight="1" x14ac:dyDescent="0.3">
      <c r="A4931" s="2" t="s">
        <v>749</v>
      </c>
      <c r="B4931" s="2" t="s">
        <v>1105</v>
      </c>
      <c r="C4931" s="5" t="s">
        <v>1044</v>
      </c>
      <c r="D4931" s="2" t="s">
        <v>1045</v>
      </c>
    </row>
    <row r="4932" spans="1:4" ht="13.05" customHeight="1" x14ac:dyDescent="0.3">
      <c r="A4932" s="2" t="s">
        <v>749</v>
      </c>
      <c r="B4932" s="2" t="s">
        <v>1105</v>
      </c>
      <c r="C4932" s="5" t="s">
        <v>1019</v>
      </c>
      <c r="D4932" s="2" t="s">
        <v>1020</v>
      </c>
    </row>
    <row r="4933" spans="1:4" ht="13.05" customHeight="1" x14ac:dyDescent="0.3">
      <c r="A4933" s="2" t="s">
        <v>751</v>
      </c>
      <c r="B4933" s="2" t="s">
        <v>1033</v>
      </c>
      <c r="C4933" s="5" t="s">
        <v>1015</v>
      </c>
      <c r="D4933" s="2" t="s">
        <v>1092</v>
      </c>
    </row>
    <row r="4934" spans="1:4" ht="13.05" customHeight="1" x14ac:dyDescent="0.3">
      <c r="A4934" s="2" t="s">
        <v>751</v>
      </c>
      <c r="B4934" s="2" t="s">
        <v>1033</v>
      </c>
      <c r="C4934" s="5" t="s">
        <v>1017</v>
      </c>
      <c r="D4934" s="2" t="s">
        <v>1018</v>
      </c>
    </row>
    <row r="4935" spans="1:4" ht="13.05" customHeight="1" x14ac:dyDescent="0.3">
      <c r="A4935" s="2" t="s">
        <v>751</v>
      </c>
      <c r="B4935" s="2" t="s">
        <v>1033</v>
      </c>
      <c r="C4935" s="5" t="s">
        <v>1019</v>
      </c>
      <c r="D4935" s="2" t="s">
        <v>1020</v>
      </c>
    </row>
    <row r="4936" spans="1:4" ht="13.05" customHeight="1" x14ac:dyDescent="0.3">
      <c r="A4936" s="2" t="s">
        <v>751</v>
      </c>
      <c r="B4936" s="2" t="s">
        <v>1033</v>
      </c>
      <c r="C4936" s="5" t="s">
        <v>1021</v>
      </c>
      <c r="D4936" s="2" t="s">
        <v>1087</v>
      </c>
    </row>
    <row r="4937" spans="1:4" ht="13.05" customHeight="1" x14ac:dyDescent="0.3">
      <c r="A4937" s="2" t="s">
        <v>751</v>
      </c>
      <c r="B4937" s="2" t="s">
        <v>1033</v>
      </c>
      <c r="C4937" s="5" t="s">
        <v>1023</v>
      </c>
      <c r="D4937" s="2" t="s">
        <v>1109</v>
      </c>
    </row>
    <row r="4938" spans="1:4" ht="13.05" customHeight="1" x14ac:dyDescent="0.3">
      <c r="A4938" s="2" t="s">
        <v>751</v>
      </c>
      <c r="B4938" s="2" t="s">
        <v>1033</v>
      </c>
      <c r="C4938" s="5" t="s">
        <v>1025</v>
      </c>
      <c r="D4938" s="2" t="s">
        <v>1089</v>
      </c>
    </row>
    <row r="4939" spans="1:4" ht="13.05" customHeight="1" x14ac:dyDescent="0.3">
      <c r="A4939" s="2" t="s">
        <v>751</v>
      </c>
      <c r="B4939" s="2" t="s">
        <v>1033</v>
      </c>
      <c r="C4939" s="5" t="s">
        <v>1027</v>
      </c>
      <c r="D4939" s="2" t="s">
        <v>1090</v>
      </c>
    </row>
    <row r="4940" spans="1:4" ht="13.05" customHeight="1" x14ac:dyDescent="0.3">
      <c r="A4940" s="2" t="s">
        <v>751</v>
      </c>
      <c r="B4940" s="2" t="s">
        <v>1033</v>
      </c>
      <c r="C4940" s="5" t="s">
        <v>1029</v>
      </c>
      <c r="D4940" s="2" t="s">
        <v>6051</v>
      </c>
    </row>
    <row r="4941" spans="1:4" ht="13.05" customHeight="1" x14ac:dyDescent="0.3">
      <c r="A4941" s="2" t="s">
        <v>754</v>
      </c>
      <c r="B4941" s="2" t="s">
        <v>1033</v>
      </c>
      <c r="C4941" s="5" t="s">
        <v>1021</v>
      </c>
      <c r="D4941" s="2" t="s">
        <v>6150</v>
      </c>
    </row>
    <row r="4942" spans="1:4" ht="13.05" customHeight="1" x14ac:dyDescent="0.3">
      <c r="A4942" s="2" t="s">
        <v>754</v>
      </c>
      <c r="B4942" s="2" t="s">
        <v>1033</v>
      </c>
      <c r="C4942" s="5" t="s">
        <v>1023</v>
      </c>
      <c r="D4942" s="2" t="s">
        <v>6151</v>
      </c>
    </row>
    <row r="4943" spans="1:4" ht="13.05" customHeight="1" x14ac:dyDescent="0.3">
      <c r="A4943" s="2" t="s">
        <v>754</v>
      </c>
      <c r="B4943" s="2" t="s">
        <v>1033</v>
      </c>
      <c r="C4943" s="5" t="s">
        <v>1025</v>
      </c>
      <c r="D4943" s="2" t="s">
        <v>6152</v>
      </c>
    </row>
    <row r="4944" spans="1:4" ht="13.05" customHeight="1" x14ac:dyDescent="0.3">
      <c r="A4944" s="2" t="s">
        <v>754</v>
      </c>
      <c r="B4944" s="2" t="s">
        <v>1033</v>
      </c>
      <c r="C4944" s="5" t="s">
        <v>1027</v>
      </c>
      <c r="D4944" s="2" t="s">
        <v>6153</v>
      </c>
    </row>
    <row r="4945" spans="1:4" ht="13.05" customHeight="1" x14ac:dyDescent="0.3">
      <c r="A4945" s="2" t="s">
        <v>754</v>
      </c>
      <c r="B4945" s="2" t="s">
        <v>1033</v>
      </c>
      <c r="C4945" s="5" t="s">
        <v>1029</v>
      </c>
      <c r="D4945" s="2" t="s">
        <v>6154</v>
      </c>
    </row>
    <row r="4946" spans="1:4" ht="13.05" customHeight="1" x14ac:dyDescent="0.3">
      <c r="A4946" s="2" t="s">
        <v>754</v>
      </c>
      <c r="B4946" s="2" t="s">
        <v>1033</v>
      </c>
      <c r="C4946" s="5" t="s">
        <v>1031</v>
      </c>
      <c r="D4946" s="2" t="s">
        <v>6155</v>
      </c>
    </row>
    <row r="4947" spans="1:4" ht="13.05" customHeight="1" x14ac:dyDescent="0.3">
      <c r="A4947" s="2" t="s">
        <v>754</v>
      </c>
      <c r="B4947" s="2" t="s">
        <v>1033</v>
      </c>
      <c r="C4947" s="5" t="s">
        <v>1040</v>
      </c>
      <c r="D4947" s="2" t="s">
        <v>6156</v>
      </c>
    </row>
    <row r="4948" spans="1:4" ht="13.05" customHeight="1" x14ac:dyDescent="0.3">
      <c r="A4948" s="2" t="s">
        <v>756</v>
      </c>
      <c r="B4948" s="2" t="s">
        <v>1199</v>
      </c>
      <c r="C4948" s="5" t="s">
        <v>1044</v>
      </c>
      <c r="D4948" s="2" t="s">
        <v>1045</v>
      </c>
    </row>
    <row r="4949" spans="1:4" ht="13.05" customHeight="1" x14ac:dyDescent="0.3">
      <c r="A4949" s="2" t="s">
        <v>756</v>
      </c>
      <c r="B4949" s="2" t="s">
        <v>1199</v>
      </c>
      <c r="C4949" s="5" t="s">
        <v>1015</v>
      </c>
      <c r="D4949" s="2" t="s">
        <v>1016</v>
      </c>
    </row>
    <row r="4950" spans="1:4" ht="13.05" customHeight="1" x14ac:dyDescent="0.3">
      <c r="A4950" s="2" t="s">
        <v>756</v>
      </c>
      <c r="B4950" s="2" t="s">
        <v>1199</v>
      </c>
      <c r="C4950" s="5" t="s">
        <v>1017</v>
      </c>
      <c r="D4950" s="2" t="s">
        <v>1018</v>
      </c>
    </row>
    <row r="4951" spans="1:4" ht="13.05" customHeight="1" x14ac:dyDescent="0.3">
      <c r="A4951" s="2" t="s">
        <v>756</v>
      </c>
      <c r="B4951" s="2" t="s">
        <v>1199</v>
      </c>
      <c r="C4951" s="5" t="s">
        <v>1019</v>
      </c>
      <c r="D4951" s="2" t="s">
        <v>1020</v>
      </c>
    </row>
    <row r="4952" spans="1:4" ht="13.05" customHeight="1" x14ac:dyDescent="0.3">
      <c r="A4952" s="2" t="s">
        <v>756</v>
      </c>
      <c r="B4952" s="2" t="s">
        <v>1199</v>
      </c>
      <c r="C4952" s="5" t="s">
        <v>1021</v>
      </c>
      <c r="D4952" s="2" t="s">
        <v>890</v>
      </c>
    </row>
    <row r="4953" spans="1:4" ht="13.05" customHeight="1" x14ac:dyDescent="0.3">
      <c r="A4953" s="2" t="s">
        <v>756</v>
      </c>
      <c r="B4953" s="2" t="s">
        <v>1199</v>
      </c>
      <c r="C4953" s="5" t="s">
        <v>1023</v>
      </c>
      <c r="D4953" s="2" t="s">
        <v>6137</v>
      </c>
    </row>
    <row r="4954" spans="1:4" ht="13.05" customHeight="1" x14ac:dyDescent="0.3">
      <c r="A4954" s="2" t="s">
        <v>756</v>
      </c>
      <c r="B4954" s="2" t="s">
        <v>1199</v>
      </c>
      <c r="C4954" s="5" t="s">
        <v>1025</v>
      </c>
      <c r="D4954" s="2" t="s">
        <v>6157</v>
      </c>
    </row>
    <row r="4955" spans="1:4" ht="13.05" customHeight="1" x14ac:dyDescent="0.3">
      <c r="A4955" s="2" t="s">
        <v>756</v>
      </c>
      <c r="B4955" s="2" t="s">
        <v>1199</v>
      </c>
      <c r="C4955" s="5" t="s">
        <v>1027</v>
      </c>
      <c r="D4955" s="2" t="s">
        <v>6117</v>
      </c>
    </row>
    <row r="4956" spans="1:4" ht="13.05" customHeight="1" x14ac:dyDescent="0.3">
      <c r="A4956" s="2" t="s">
        <v>756</v>
      </c>
      <c r="B4956" s="2" t="s">
        <v>1199</v>
      </c>
      <c r="C4956" s="5" t="s">
        <v>1029</v>
      </c>
      <c r="D4956" s="2" t="s">
        <v>6138</v>
      </c>
    </row>
    <row r="4957" spans="1:4" ht="13.05" customHeight="1" x14ac:dyDescent="0.3">
      <c r="A4957" s="2" t="s">
        <v>756</v>
      </c>
      <c r="B4957" s="2" t="s">
        <v>1199</v>
      </c>
      <c r="C4957" s="5" t="s">
        <v>1031</v>
      </c>
      <c r="D4957" s="2" t="s">
        <v>6139</v>
      </c>
    </row>
    <row r="4958" spans="1:4" ht="13.05" customHeight="1" x14ac:dyDescent="0.3">
      <c r="A4958" s="2" t="s">
        <v>756</v>
      </c>
      <c r="B4958" s="2" t="s">
        <v>1199</v>
      </c>
      <c r="C4958" s="5" t="s">
        <v>1040</v>
      </c>
      <c r="D4958" s="2" t="s">
        <v>6140</v>
      </c>
    </row>
    <row r="4959" spans="1:4" ht="13.05" customHeight="1" x14ac:dyDescent="0.3">
      <c r="A4959" s="2" t="s">
        <v>756</v>
      </c>
      <c r="B4959" s="2" t="s">
        <v>1199</v>
      </c>
      <c r="C4959" s="5" t="s">
        <v>1042</v>
      </c>
      <c r="D4959" s="2" t="s">
        <v>6141</v>
      </c>
    </row>
    <row r="4960" spans="1:4" ht="13.05" customHeight="1" x14ac:dyDescent="0.3">
      <c r="A4960" s="2" t="s">
        <v>756</v>
      </c>
      <c r="B4960" s="2" t="s">
        <v>1199</v>
      </c>
      <c r="C4960" s="5" t="s">
        <v>1061</v>
      </c>
      <c r="D4960" s="2" t="s">
        <v>6142</v>
      </c>
    </row>
    <row r="4961" spans="1:4" ht="13.05" customHeight="1" x14ac:dyDescent="0.3">
      <c r="A4961" s="2" t="s">
        <v>756</v>
      </c>
      <c r="B4961" s="2" t="s">
        <v>1199</v>
      </c>
      <c r="C4961" s="5" t="s">
        <v>1063</v>
      </c>
      <c r="D4961" s="2" t="s">
        <v>6143</v>
      </c>
    </row>
    <row r="4962" spans="1:4" ht="13.05" customHeight="1" x14ac:dyDescent="0.3">
      <c r="A4962" s="2" t="s">
        <v>756</v>
      </c>
      <c r="B4962" s="2" t="s">
        <v>1199</v>
      </c>
      <c r="C4962" s="5" t="s">
        <v>1065</v>
      </c>
      <c r="D4962" s="2" t="s">
        <v>6144</v>
      </c>
    </row>
    <row r="4963" spans="1:4" ht="13.05" customHeight="1" x14ac:dyDescent="0.3">
      <c r="A4963" s="2" t="s">
        <v>756</v>
      </c>
      <c r="B4963" s="2" t="s">
        <v>1199</v>
      </c>
      <c r="C4963" s="5" t="s">
        <v>1067</v>
      </c>
      <c r="D4963" s="2" t="s">
        <v>6124</v>
      </c>
    </row>
    <row r="4964" spans="1:4" ht="13.05" customHeight="1" x14ac:dyDescent="0.3">
      <c r="A4964" s="2" t="s">
        <v>756</v>
      </c>
      <c r="B4964" s="2" t="s">
        <v>1199</v>
      </c>
      <c r="C4964" s="5" t="s">
        <v>1069</v>
      </c>
      <c r="D4964" s="2" t="s">
        <v>6145</v>
      </c>
    </row>
    <row r="4965" spans="1:4" ht="13.05" customHeight="1" x14ac:dyDescent="0.3">
      <c r="A4965" s="2" t="s">
        <v>756</v>
      </c>
      <c r="B4965" s="2" t="s">
        <v>1199</v>
      </c>
      <c r="C4965" s="5" t="s">
        <v>1071</v>
      </c>
      <c r="D4965" s="2" t="s">
        <v>6126</v>
      </c>
    </row>
    <row r="4966" spans="1:4" ht="13.05" customHeight="1" x14ac:dyDescent="0.3">
      <c r="A4966" s="2" t="s">
        <v>756</v>
      </c>
      <c r="B4966" s="2" t="s">
        <v>1199</v>
      </c>
      <c r="C4966" s="5" t="s">
        <v>1073</v>
      </c>
      <c r="D4966" s="2" t="s">
        <v>6127</v>
      </c>
    </row>
    <row r="4967" spans="1:4" ht="13.05" customHeight="1" x14ac:dyDescent="0.3">
      <c r="A4967" s="2" t="s">
        <v>756</v>
      </c>
      <c r="B4967" s="2" t="s">
        <v>1199</v>
      </c>
      <c r="C4967" s="5" t="s">
        <v>1075</v>
      </c>
      <c r="D4967" s="2" t="s">
        <v>6128</v>
      </c>
    </row>
    <row r="4968" spans="1:4" ht="13.05" customHeight="1" x14ac:dyDescent="0.3">
      <c r="A4968" s="2" t="s">
        <v>756</v>
      </c>
      <c r="B4968" s="2" t="s">
        <v>1199</v>
      </c>
      <c r="C4968" s="5" t="s">
        <v>1077</v>
      </c>
      <c r="D4968" s="2" t="s">
        <v>6129</v>
      </c>
    </row>
    <row r="4969" spans="1:4" ht="13.05" customHeight="1" x14ac:dyDescent="0.3">
      <c r="A4969" s="2" t="s">
        <v>756</v>
      </c>
      <c r="B4969" s="2" t="s">
        <v>1199</v>
      </c>
      <c r="C4969" s="5" t="s">
        <v>1079</v>
      </c>
      <c r="D4969" s="2" t="s">
        <v>6130</v>
      </c>
    </row>
    <row r="4970" spans="1:4" ht="13.05" customHeight="1" x14ac:dyDescent="0.3">
      <c r="A4970" s="2" t="s">
        <v>756</v>
      </c>
      <c r="B4970" s="2" t="s">
        <v>1199</v>
      </c>
      <c r="C4970" s="5" t="s">
        <v>1081</v>
      </c>
      <c r="D4970" s="2" t="s">
        <v>6131</v>
      </c>
    </row>
    <row r="4971" spans="1:4" ht="13.05" customHeight="1" x14ac:dyDescent="0.3">
      <c r="A4971" s="2" t="s">
        <v>756</v>
      </c>
      <c r="B4971" s="2" t="s">
        <v>1199</v>
      </c>
      <c r="C4971" s="5" t="s">
        <v>1222</v>
      </c>
      <c r="D4971" s="2" t="s">
        <v>6132</v>
      </c>
    </row>
    <row r="4972" spans="1:4" ht="13.05" customHeight="1" x14ac:dyDescent="0.3">
      <c r="A4972" s="2" t="s">
        <v>756</v>
      </c>
      <c r="B4972" s="2" t="s">
        <v>1199</v>
      </c>
      <c r="C4972" s="5" t="s">
        <v>1052</v>
      </c>
      <c r="D4972" s="2" t="s">
        <v>1053</v>
      </c>
    </row>
    <row r="4973" spans="1:4" ht="13.05" customHeight="1" x14ac:dyDescent="0.3">
      <c r="A4973" s="2" t="s">
        <v>759</v>
      </c>
      <c r="B4973" s="2" t="s">
        <v>1199</v>
      </c>
      <c r="C4973" s="5" t="s">
        <v>1044</v>
      </c>
      <c r="D4973" s="2" t="s">
        <v>1045</v>
      </c>
    </row>
    <row r="4974" spans="1:4" ht="13.05" customHeight="1" x14ac:dyDescent="0.3">
      <c r="A4974" s="2" t="s">
        <v>759</v>
      </c>
      <c r="B4974" s="2" t="s">
        <v>1199</v>
      </c>
      <c r="C4974" s="5" t="s">
        <v>1015</v>
      </c>
      <c r="D4974" s="2" t="s">
        <v>1016</v>
      </c>
    </row>
    <row r="4975" spans="1:4" ht="13.05" customHeight="1" x14ac:dyDescent="0.3">
      <c r="A4975" s="2" t="s">
        <v>759</v>
      </c>
      <c r="B4975" s="2" t="s">
        <v>1199</v>
      </c>
      <c r="C4975" s="5" t="s">
        <v>1017</v>
      </c>
      <c r="D4975" s="2" t="s">
        <v>1018</v>
      </c>
    </row>
    <row r="4976" spans="1:4" ht="13.05" customHeight="1" x14ac:dyDescent="0.3">
      <c r="A4976" s="2" t="s">
        <v>759</v>
      </c>
      <c r="B4976" s="2" t="s">
        <v>1199</v>
      </c>
      <c r="C4976" s="5" t="s">
        <v>1019</v>
      </c>
      <c r="D4976" s="2" t="s">
        <v>1020</v>
      </c>
    </row>
    <row r="4977" spans="1:4" ht="13.05" customHeight="1" x14ac:dyDescent="0.3">
      <c r="A4977" s="2" t="s">
        <v>759</v>
      </c>
      <c r="B4977" s="2" t="s">
        <v>1199</v>
      </c>
      <c r="C4977" s="5" t="s">
        <v>1021</v>
      </c>
      <c r="D4977" s="2" t="s">
        <v>890</v>
      </c>
    </row>
    <row r="4978" spans="1:4" ht="13.05" customHeight="1" x14ac:dyDescent="0.3">
      <c r="A4978" s="2" t="s">
        <v>759</v>
      </c>
      <c r="B4978" s="2" t="s">
        <v>1199</v>
      </c>
      <c r="C4978" s="5" t="s">
        <v>1023</v>
      </c>
      <c r="D4978" s="2" t="s">
        <v>6137</v>
      </c>
    </row>
    <row r="4979" spans="1:4" ht="13.05" customHeight="1" x14ac:dyDescent="0.3">
      <c r="A4979" s="2" t="s">
        <v>759</v>
      </c>
      <c r="B4979" s="2" t="s">
        <v>1199</v>
      </c>
      <c r="C4979" s="5" t="s">
        <v>1025</v>
      </c>
      <c r="D4979" s="2" t="s">
        <v>6157</v>
      </c>
    </row>
    <row r="4980" spans="1:4" ht="13.05" customHeight="1" x14ac:dyDescent="0.3">
      <c r="A4980" s="2" t="s">
        <v>759</v>
      </c>
      <c r="B4980" s="2" t="s">
        <v>1199</v>
      </c>
      <c r="C4980" s="5" t="s">
        <v>1027</v>
      </c>
      <c r="D4980" s="2" t="s">
        <v>6117</v>
      </c>
    </row>
    <row r="4981" spans="1:4" ht="13.05" customHeight="1" x14ac:dyDescent="0.3">
      <c r="A4981" s="2" t="s">
        <v>759</v>
      </c>
      <c r="B4981" s="2" t="s">
        <v>1199</v>
      </c>
      <c r="C4981" s="5" t="s">
        <v>1029</v>
      </c>
      <c r="D4981" s="2" t="s">
        <v>6138</v>
      </c>
    </row>
    <row r="4982" spans="1:4" ht="13.05" customHeight="1" x14ac:dyDescent="0.3">
      <c r="A4982" s="2" t="s">
        <v>759</v>
      </c>
      <c r="B4982" s="2" t="s">
        <v>1199</v>
      </c>
      <c r="C4982" s="5" t="s">
        <v>1031</v>
      </c>
      <c r="D4982" s="2" t="s">
        <v>6139</v>
      </c>
    </row>
    <row r="4983" spans="1:4" ht="13.05" customHeight="1" x14ac:dyDescent="0.3">
      <c r="A4983" s="2" t="s">
        <v>759</v>
      </c>
      <c r="B4983" s="2" t="s">
        <v>1199</v>
      </c>
      <c r="C4983" s="5" t="s">
        <v>1040</v>
      </c>
      <c r="D4983" s="2" t="s">
        <v>6140</v>
      </c>
    </row>
    <row r="4984" spans="1:4" ht="13.05" customHeight="1" x14ac:dyDescent="0.3">
      <c r="A4984" s="2" t="s">
        <v>759</v>
      </c>
      <c r="B4984" s="2" t="s">
        <v>1199</v>
      </c>
      <c r="C4984" s="5" t="s">
        <v>1042</v>
      </c>
      <c r="D4984" s="2" t="s">
        <v>6141</v>
      </c>
    </row>
    <row r="4985" spans="1:4" ht="13.05" customHeight="1" x14ac:dyDescent="0.3">
      <c r="A4985" s="2" t="s">
        <v>759</v>
      </c>
      <c r="B4985" s="2" t="s">
        <v>1199</v>
      </c>
      <c r="C4985" s="5" t="s">
        <v>1061</v>
      </c>
      <c r="D4985" s="2" t="s">
        <v>6142</v>
      </c>
    </row>
    <row r="4986" spans="1:4" ht="13.05" customHeight="1" x14ac:dyDescent="0.3">
      <c r="A4986" s="2" t="s">
        <v>759</v>
      </c>
      <c r="B4986" s="2" t="s">
        <v>1199</v>
      </c>
      <c r="C4986" s="5" t="s">
        <v>1063</v>
      </c>
      <c r="D4986" s="2" t="s">
        <v>6143</v>
      </c>
    </row>
    <row r="4987" spans="1:4" ht="13.05" customHeight="1" x14ac:dyDescent="0.3">
      <c r="A4987" s="2" t="s">
        <v>759</v>
      </c>
      <c r="B4987" s="2" t="s">
        <v>1199</v>
      </c>
      <c r="C4987" s="5" t="s">
        <v>1065</v>
      </c>
      <c r="D4987" s="2" t="s">
        <v>6144</v>
      </c>
    </row>
    <row r="4988" spans="1:4" ht="13.05" customHeight="1" x14ac:dyDescent="0.3">
      <c r="A4988" s="2" t="s">
        <v>759</v>
      </c>
      <c r="B4988" s="2" t="s">
        <v>1199</v>
      </c>
      <c r="C4988" s="5" t="s">
        <v>1067</v>
      </c>
      <c r="D4988" s="2" t="s">
        <v>6124</v>
      </c>
    </row>
    <row r="4989" spans="1:4" ht="13.05" customHeight="1" x14ac:dyDescent="0.3">
      <c r="A4989" s="2" t="s">
        <v>759</v>
      </c>
      <c r="B4989" s="2" t="s">
        <v>1199</v>
      </c>
      <c r="C4989" s="5" t="s">
        <v>1069</v>
      </c>
      <c r="D4989" s="2" t="s">
        <v>6145</v>
      </c>
    </row>
    <row r="4990" spans="1:4" ht="13.05" customHeight="1" x14ac:dyDescent="0.3">
      <c r="A4990" s="2" t="s">
        <v>759</v>
      </c>
      <c r="B4990" s="2" t="s">
        <v>1199</v>
      </c>
      <c r="C4990" s="5" t="s">
        <v>1071</v>
      </c>
      <c r="D4990" s="2" t="s">
        <v>6126</v>
      </c>
    </row>
    <row r="4991" spans="1:4" ht="13.05" customHeight="1" x14ac:dyDescent="0.3">
      <c r="A4991" s="2" t="s">
        <v>759</v>
      </c>
      <c r="B4991" s="2" t="s">
        <v>1199</v>
      </c>
      <c r="C4991" s="5" t="s">
        <v>1073</v>
      </c>
      <c r="D4991" s="2" t="s">
        <v>6127</v>
      </c>
    </row>
    <row r="4992" spans="1:4" ht="13.05" customHeight="1" x14ac:dyDescent="0.3">
      <c r="A4992" s="2" t="s">
        <v>759</v>
      </c>
      <c r="B4992" s="2" t="s">
        <v>1199</v>
      </c>
      <c r="C4992" s="5" t="s">
        <v>1075</v>
      </c>
      <c r="D4992" s="2" t="s">
        <v>6128</v>
      </c>
    </row>
    <row r="4993" spans="1:4" ht="13.05" customHeight="1" x14ac:dyDescent="0.3">
      <c r="A4993" s="2" t="s">
        <v>759</v>
      </c>
      <c r="B4993" s="2" t="s">
        <v>1199</v>
      </c>
      <c r="C4993" s="5" t="s">
        <v>1077</v>
      </c>
      <c r="D4993" s="2" t="s">
        <v>6129</v>
      </c>
    </row>
    <row r="4994" spans="1:4" ht="13.05" customHeight="1" x14ac:dyDescent="0.3">
      <c r="A4994" s="2" t="s">
        <v>759</v>
      </c>
      <c r="B4994" s="2" t="s">
        <v>1199</v>
      </c>
      <c r="C4994" s="5" t="s">
        <v>1079</v>
      </c>
      <c r="D4994" s="2" t="s">
        <v>6130</v>
      </c>
    </row>
    <row r="4995" spans="1:4" ht="13.05" customHeight="1" x14ac:dyDescent="0.3">
      <c r="A4995" s="2" t="s">
        <v>759</v>
      </c>
      <c r="B4995" s="2" t="s">
        <v>1199</v>
      </c>
      <c r="C4995" s="5" t="s">
        <v>1081</v>
      </c>
      <c r="D4995" s="2" t="s">
        <v>6131</v>
      </c>
    </row>
    <row r="4996" spans="1:4" ht="13.05" customHeight="1" x14ac:dyDescent="0.3">
      <c r="A4996" s="2" t="s">
        <v>759</v>
      </c>
      <c r="B4996" s="2" t="s">
        <v>1199</v>
      </c>
      <c r="C4996" s="5" t="s">
        <v>1222</v>
      </c>
      <c r="D4996" s="2" t="s">
        <v>6132</v>
      </c>
    </row>
    <row r="4997" spans="1:4" ht="13.05" customHeight="1" x14ac:dyDescent="0.3">
      <c r="A4997" s="2" t="s">
        <v>759</v>
      </c>
      <c r="B4997" s="2" t="s">
        <v>1199</v>
      </c>
      <c r="C4997" s="5" t="s">
        <v>1052</v>
      </c>
      <c r="D4997" s="2" t="s">
        <v>1053</v>
      </c>
    </row>
    <row r="4998" spans="1:4" ht="13.05" customHeight="1" x14ac:dyDescent="0.3">
      <c r="A4998" s="2" t="s">
        <v>761</v>
      </c>
      <c r="B4998" s="2" t="s">
        <v>1199</v>
      </c>
      <c r="C4998" s="5" t="s">
        <v>1044</v>
      </c>
      <c r="D4998" s="2" t="s">
        <v>1045</v>
      </c>
    </row>
    <row r="4999" spans="1:4" ht="13.05" customHeight="1" x14ac:dyDescent="0.3">
      <c r="A4999" s="2" t="s">
        <v>761</v>
      </c>
      <c r="B4999" s="2" t="s">
        <v>1199</v>
      </c>
      <c r="C4999" s="5" t="s">
        <v>1015</v>
      </c>
      <c r="D4999" s="2" t="s">
        <v>1016</v>
      </c>
    </row>
    <row r="5000" spans="1:4" ht="13.05" customHeight="1" x14ac:dyDescent="0.3">
      <c r="A5000" s="2" t="s">
        <v>761</v>
      </c>
      <c r="B5000" s="2" t="s">
        <v>1199</v>
      </c>
      <c r="C5000" s="5" t="s">
        <v>1017</v>
      </c>
      <c r="D5000" s="2" t="s">
        <v>1018</v>
      </c>
    </row>
    <row r="5001" spans="1:4" ht="13.05" customHeight="1" x14ac:dyDescent="0.3">
      <c r="A5001" s="2" t="s">
        <v>761</v>
      </c>
      <c r="B5001" s="2" t="s">
        <v>1199</v>
      </c>
      <c r="C5001" s="5" t="s">
        <v>1019</v>
      </c>
      <c r="D5001" s="2" t="s">
        <v>1020</v>
      </c>
    </row>
    <row r="5002" spans="1:4" ht="13.05" customHeight="1" x14ac:dyDescent="0.3">
      <c r="A5002" s="2" t="s">
        <v>761</v>
      </c>
      <c r="B5002" s="2" t="s">
        <v>1199</v>
      </c>
      <c r="C5002" s="5" t="s">
        <v>1021</v>
      </c>
      <c r="D5002" s="2" t="s">
        <v>890</v>
      </c>
    </row>
    <row r="5003" spans="1:4" ht="13.05" customHeight="1" x14ac:dyDescent="0.3">
      <c r="A5003" s="2" t="s">
        <v>761</v>
      </c>
      <c r="B5003" s="2" t="s">
        <v>1199</v>
      </c>
      <c r="C5003" s="5" t="s">
        <v>1023</v>
      </c>
      <c r="D5003" s="2" t="s">
        <v>6137</v>
      </c>
    </row>
    <row r="5004" spans="1:4" ht="13.05" customHeight="1" x14ac:dyDescent="0.3">
      <c r="A5004" s="2" t="s">
        <v>761</v>
      </c>
      <c r="B5004" s="2" t="s">
        <v>1199</v>
      </c>
      <c r="C5004" s="5" t="s">
        <v>1025</v>
      </c>
      <c r="D5004" s="2" t="s">
        <v>6157</v>
      </c>
    </row>
    <row r="5005" spans="1:4" ht="13.05" customHeight="1" x14ac:dyDescent="0.3">
      <c r="A5005" s="2" t="s">
        <v>761</v>
      </c>
      <c r="B5005" s="2" t="s">
        <v>1199</v>
      </c>
      <c r="C5005" s="5" t="s">
        <v>1027</v>
      </c>
      <c r="D5005" s="2" t="s">
        <v>6117</v>
      </c>
    </row>
    <row r="5006" spans="1:4" ht="13.05" customHeight="1" x14ac:dyDescent="0.3">
      <c r="A5006" s="2" t="s">
        <v>761</v>
      </c>
      <c r="B5006" s="2" t="s">
        <v>1199</v>
      </c>
      <c r="C5006" s="5" t="s">
        <v>1029</v>
      </c>
      <c r="D5006" s="2" t="s">
        <v>6138</v>
      </c>
    </row>
    <row r="5007" spans="1:4" ht="13.05" customHeight="1" x14ac:dyDescent="0.3">
      <c r="A5007" s="2" t="s">
        <v>761</v>
      </c>
      <c r="B5007" s="2" t="s">
        <v>1199</v>
      </c>
      <c r="C5007" s="5" t="s">
        <v>1031</v>
      </c>
      <c r="D5007" s="2" t="s">
        <v>6139</v>
      </c>
    </row>
    <row r="5008" spans="1:4" ht="13.05" customHeight="1" x14ac:dyDescent="0.3">
      <c r="A5008" s="2" t="s">
        <v>761</v>
      </c>
      <c r="B5008" s="2" t="s">
        <v>1199</v>
      </c>
      <c r="C5008" s="5" t="s">
        <v>1040</v>
      </c>
      <c r="D5008" s="2" t="s">
        <v>6140</v>
      </c>
    </row>
    <row r="5009" spans="1:4" ht="13.05" customHeight="1" x14ac:dyDescent="0.3">
      <c r="A5009" s="2" t="s">
        <v>761</v>
      </c>
      <c r="B5009" s="2" t="s">
        <v>1199</v>
      </c>
      <c r="C5009" s="5" t="s">
        <v>1042</v>
      </c>
      <c r="D5009" s="2" t="s">
        <v>6141</v>
      </c>
    </row>
    <row r="5010" spans="1:4" ht="13.05" customHeight="1" x14ac:dyDescent="0.3">
      <c r="A5010" s="2" t="s">
        <v>761</v>
      </c>
      <c r="B5010" s="2" t="s">
        <v>1199</v>
      </c>
      <c r="C5010" s="5" t="s">
        <v>1061</v>
      </c>
      <c r="D5010" s="2" t="s">
        <v>6142</v>
      </c>
    </row>
    <row r="5011" spans="1:4" ht="13.05" customHeight="1" x14ac:dyDescent="0.3">
      <c r="A5011" s="2" t="s">
        <v>761</v>
      </c>
      <c r="B5011" s="2" t="s">
        <v>1199</v>
      </c>
      <c r="C5011" s="5" t="s">
        <v>1063</v>
      </c>
      <c r="D5011" s="2" t="s">
        <v>6143</v>
      </c>
    </row>
    <row r="5012" spans="1:4" ht="13.05" customHeight="1" x14ac:dyDescent="0.3">
      <c r="A5012" s="2" t="s">
        <v>761</v>
      </c>
      <c r="B5012" s="2" t="s">
        <v>1199</v>
      </c>
      <c r="C5012" s="5" t="s">
        <v>1065</v>
      </c>
      <c r="D5012" s="2" t="s">
        <v>6144</v>
      </c>
    </row>
    <row r="5013" spans="1:4" ht="13.05" customHeight="1" x14ac:dyDescent="0.3">
      <c r="A5013" s="2" t="s">
        <v>761</v>
      </c>
      <c r="B5013" s="2" t="s">
        <v>1199</v>
      </c>
      <c r="C5013" s="5" t="s">
        <v>1067</v>
      </c>
      <c r="D5013" s="2" t="s">
        <v>6124</v>
      </c>
    </row>
    <row r="5014" spans="1:4" ht="13.05" customHeight="1" x14ac:dyDescent="0.3">
      <c r="A5014" s="2" t="s">
        <v>761</v>
      </c>
      <c r="B5014" s="2" t="s">
        <v>1199</v>
      </c>
      <c r="C5014" s="5" t="s">
        <v>1069</v>
      </c>
      <c r="D5014" s="2" t="s">
        <v>6145</v>
      </c>
    </row>
    <row r="5015" spans="1:4" ht="13.05" customHeight="1" x14ac:dyDescent="0.3">
      <c r="A5015" s="2" t="s">
        <v>761</v>
      </c>
      <c r="B5015" s="2" t="s">
        <v>1199</v>
      </c>
      <c r="C5015" s="5" t="s">
        <v>1071</v>
      </c>
      <c r="D5015" s="2" t="s">
        <v>6126</v>
      </c>
    </row>
    <row r="5016" spans="1:4" ht="13.05" customHeight="1" x14ac:dyDescent="0.3">
      <c r="A5016" s="2" t="s">
        <v>761</v>
      </c>
      <c r="B5016" s="2" t="s">
        <v>1199</v>
      </c>
      <c r="C5016" s="5" t="s">
        <v>1073</v>
      </c>
      <c r="D5016" s="2" t="s">
        <v>6127</v>
      </c>
    </row>
    <row r="5017" spans="1:4" ht="13.05" customHeight="1" x14ac:dyDescent="0.3">
      <c r="A5017" s="2" t="s">
        <v>761</v>
      </c>
      <c r="B5017" s="2" t="s">
        <v>1199</v>
      </c>
      <c r="C5017" s="5" t="s">
        <v>1075</v>
      </c>
      <c r="D5017" s="2" t="s">
        <v>6128</v>
      </c>
    </row>
    <row r="5018" spans="1:4" ht="13.05" customHeight="1" x14ac:dyDescent="0.3">
      <c r="A5018" s="2" t="s">
        <v>761</v>
      </c>
      <c r="B5018" s="2" t="s">
        <v>1199</v>
      </c>
      <c r="C5018" s="5" t="s">
        <v>1077</v>
      </c>
      <c r="D5018" s="2" t="s">
        <v>6129</v>
      </c>
    </row>
    <row r="5019" spans="1:4" ht="13.05" customHeight="1" x14ac:dyDescent="0.3">
      <c r="A5019" s="2" t="s">
        <v>761</v>
      </c>
      <c r="B5019" s="2" t="s">
        <v>1199</v>
      </c>
      <c r="C5019" s="5" t="s">
        <v>1079</v>
      </c>
      <c r="D5019" s="2" t="s">
        <v>6130</v>
      </c>
    </row>
    <row r="5020" spans="1:4" ht="13.05" customHeight="1" x14ac:dyDescent="0.3">
      <c r="A5020" s="2" t="s">
        <v>761</v>
      </c>
      <c r="B5020" s="2" t="s">
        <v>1199</v>
      </c>
      <c r="C5020" s="5" t="s">
        <v>1081</v>
      </c>
      <c r="D5020" s="2" t="s">
        <v>6131</v>
      </c>
    </row>
    <row r="5021" spans="1:4" ht="13.05" customHeight="1" x14ac:dyDescent="0.3">
      <c r="A5021" s="2" t="s">
        <v>761</v>
      </c>
      <c r="B5021" s="2" t="s">
        <v>1199</v>
      </c>
      <c r="C5021" s="5" t="s">
        <v>1222</v>
      </c>
      <c r="D5021" s="2" t="s">
        <v>6132</v>
      </c>
    </row>
    <row r="5022" spans="1:4" ht="13.05" customHeight="1" x14ac:dyDescent="0.3">
      <c r="A5022" s="2" t="s">
        <v>761</v>
      </c>
      <c r="B5022" s="2" t="s">
        <v>1199</v>
      </c>
      <c r="C5022" s="5" t="s">
        <v>1052</v>
      </c>
      <c r="D5022" s="2" t="s">
        <v>1053</v>
      </c>
    </row>
    <row r="5023" spans="1:4" ht="13.05" customHeight="1" x14ac:dyDescent="0.3">
      <c r="A5023" s="2" t="s">
        <v>763</v>
      </c>
      <c r="B5023" s="2" t="s">
        <v>1199</v>
      </c>
      <c r="C5023" s="5" t="s">
        <v>1044</v>
      </c>
      <c r="D5023" s="2" t="s">
        <v>1045</v>
      </c>
    </row>
    <row r="5024" spans="1:4" ht="13.05" customHeight="1" x14ac:dyDescent="0.3">
      <c r="A5024" s="2" t="s">
        <v>763</v>
      </c>
      <c r="B5024" s="2" t="s">
        <v>1199</v>
      </c>
      <c r="C5024" s="5" t="s">
        <v>1015</v>
      </c>
      <c r="D5024" s="2" t="s">
        <v>1016</v>
      </c>
    </row>
    <row r="5025" spans="1:4" ht="13.05" customHeight="1" x14ac:dyDescent="0.3">
      <c r="A5025" s="2" t="s">
        <v>763</v>
      </c>
      <c r="B5025" s="2" t="s">
        <v>1199</v>
      </c>
      <c r="C5025" s="5" t="s">
        <v>1017</v>
      </c>
      <c r="D5025" s="2" t="s">
        <v>1018</v>
      </c>
    </row>
    <row r="5026" spans="1:4" ht="13.05" customHeight="1" x14ac:dyDescent="0.3">
      <c r="A5026" s="2" t="s">
        <v>763</v>
      </c>
      <c r="B5026" s="2" t="s">
        <v>1199</v>
      </c>
      <c r="C5026" s="5" t="s">
        <v>1019</v>
      </c>
      <c r="D5026" s="2" t="s">
        <v>1020</v>
      </c>
    </row>
    <row r="5027" spans="1:4" ht="13.05" customHeight="1" x14ac:dyDescent="0.3">
      <c r="A5027" s="2" t="s">
        <v>763</v>
      </c>
      <c r="B5027" s="2" t="s">
        <v>1199</v>
      </c>
      <c r="C5027" s="5" t="s">
        <v>1021</v>
      </c>
      <c r="D5027" s="2" t="s">
        <v>890</v>
      </c>
    </row>
    <row r="5028" spans="1:4" ht="13.05" customHeight="1" x14ac:dyDescent="0.3">
      <c r="A5028" s="2" t="s">
        <v>763</v>
      </c>
      <c r="B5028" s="2" t="s">
        <v>1199</v>
      </c>
      <c r="C5028" s="5" t="s">
        <v>1023</v>
      </c>
      <c r="D5028" s="2" t="s">
        <v>6137</v>
      </c>
    </row>
    <row r="5029" spans="1:4" ht="13.05" customHeight="1" x14ac:dyDescent="0.3">
      <c r="A5029" s="2" t="s">
        <v>763</v>
      </c>
      <c r="B5029" s="2" t="s">
        <v>1199</v>
      </c>
      <c r="C5029" s="5" t="s">
        <v>1025</v>
      </c>
      <c r="D5029" s="2" t="s">
        <v>6157</v>
      </c>
    </row>
    <row r="5030" spans="1:4" ht="13.05" customHeight="1" x14ac:dyDescent="0.3">
      <c r="A5030" s="2" t="s">
        <v>763</v>
      </c>
      <c r="B5030" s="2" t="s">
        <v>1199</v>
      </c>
      <c r="C5030" s="5" t="s">
        <v>1027</v>
      </c>
      <c r="D5030" s="2" t="s">
        <v>6117</v>
      </c>
    </row>
    <row r="5031" spans="1:4" ht="13.05" customHeight="1" x14ac:dyDescent="0.3">
      <c r="A5031" s="2" t="s">
        <v>763</v>
      </c>
      <c r="B5031" s="2" t="s">
        <v>1199</v>
      </c>
      <c r="C5031" s="5" t="s">
        <v>1029</v>
      </c>
      <c r="D5031" s="2" t="s">
        <v>6138</v>
      </c>
    </row>
    <row r="5032" spans="1:4" ht="13.05" customHeight="1" x14ac:dyDescent="0.3">
      <c r="A5032" s="2" t="s">
        <v>763</v>
      </c>
      <c r="B5032" s="2" t="s">
        <v>1199</v>
      </c>
      <c r="C5032" s="5" t="s">
        <v>1031</v>
      </c>
      <c r="D5032" s="2" t="s">
        <v>6139</v>
      </c>
    </row>
    <row r="5033" spans="1:4" ht="13.05" customHeight="1" x14ac:dyDescent="0.3">
      <c r="A5033" s="2" t="s">
        <v>763</v>
      </c>
      <c r="B5033" s="2" t="s">
        <v>1199</v>
      </c>
      <c r="C5033" s="5" t="s">
        <v>1040</v>
      </c>
      <c r="D5033" s="2" t="s">
        <v>6140</v>
      </c>
    </row>
    <row r="5034" spans="1:4" ht="13.05" customHeight="1" x14ac:dyDescent="0.3">
      <c r="A5034" s="2" t="s">
        <v>763</v>
      </c>
      <c r="B5034" s="2" t="s">
        <v>1199</v>
      </c>
      <c r="C5034" s="5" t="s">
        <v>1042</v>
      </c>
      <c r="D5034" s="2" t="s">
        <v>6141</v>
      </c>
    </row>
    <row r="5035" spans="1:4" ht="13.05" customHeight="1" x14ac:dyDescent="0.3">
      <c r="A5035" s="2" t="s">
        <v>763</v>
      </c>
      <c r="B5035" s="2" t="s">
        <v>1199</v>
      </c>
      <c r="C5035" s="5" t="s">
        <v>1061</v>
      </c>
      <c r="D5035" s="2" t="s">
        <v>6142</v>
      </c>
    </row>
    <row r="5036" spans="1:4" ht="13.05" customHeight="1" x14ac:dyDescent="0.3">
      <c r="A5036" s="2" t="s">
        <v>763</v>
      </c>
      <c r="B5036" s="2" t="s">
        <v>1199</v>
      </c>
      <c r="C5036" s="5" t="s">
        <v>1063</v>
      </c>
      <c r="D5036" s="2" t="s">
        <v>6143</v>
      </c>
    </row>
    <row r="5037" spans="1:4" ht="13.05" customHeight="1" x14ac:dyDescent="0.3">
      <c r="A5037" s="2" t="s">
        <v>763</v>
      </c>
      <c r="B5037" s="2" t="s">
        <v>1199</v>
      </c>
      <c r="C5037" s="5" t="s">
        <v>1065</v>
      </c>
      <c r="D5037" s="2" t="s">
        <v>6144</v>
      </c>
    </row>
    <row r="5038" spans="1:4" ht="13.05" customHeight="1" x14ac:dyDescent="0.3">
      <c r="A5038" s="2" t="s">
        <v>763</v>
      </c>
      <c r="B5038" s="2" t="s">
        <v>1199</v>
      </c>
      <c r="C5038" s="5" t="s">
        <v>1067</v>
      </c>
      <c r="D5038" s="2" t="s">
        <v>6124</v>
      </c>
    </row>
    <row r="5039" spans="1:4" ht="13.05" customHeight="1" x14ac:dyDescent="0.3">
      <c r="A5039" s="2" t="s">
        <v>763</v>
      </c>
      <c r="B5039" s="2" t="s">
        <v>1199</v>
      </c>
      <c r="C5039" s="5" t="s">
        <v>1069</v>
      </c>
      <c r="D5039" s="2" t="s">
        <v>6145</v>
      </c>
    </row>
    <row r="5040" spans="1:4" ht="13.05" customHeight="1" x14ac:dyDescent="0.3">
      <c r="A5040" s="2" t="s">
        <v>763</v>
      </c>
      <c r="B5040" s="2" t="s">
        <v>1199</v>
      </c>
      <c r="C5040" s="5" t="s">
        <v>1071</v>
      </c>
      <c r="D5040" s="2" t="s">
        <v>6126</v>
      </c>
    </row>
    <row r="5041" spans="1:4" ht="13.05" customHeight="1" x14ac:dyDescent="0.3">
      <c r="A5041" s="2" t="s">
        <v>763</v>
      </c>
      <c r="B5041" s="2" t="s">
        <v>1199</v>
      </c>
      <c r="C5041" s="5" t="s">
        <v>1073</v>
      </c>
      <c r="D5041" s="2" t="s">
        <v>6127</v>
      </c>
    </row>
    <row r="5042" spans="1:4" ht="13.05" customHeight="1" x14ac:dyDescent="0.3">
      <c r="A5042" s="2" t="s">
        <v>763</v>
      </c>
      <c r="B5042" s="2" t="s">
        <v>1199</v>
      </c>
      <c r="C5042" s="5" t="s">
        <v>1075</v>
      </c>
      <c r="D5042" s="2" t="s">
        <v>6128</v>
      </c>
    </row>
    <row r="5043" spans="1:4" ht="13.05" customHeight="1" x14ac:dyDescent="0.3">
      <c r="A5043" s="2" t="s">
        <v>763</v>
      </c>
      <c r="B5043" s="2" t="s">
        <v>1199</v>
      </c>
      <c r="C5043" s="5" t="s">
        <v>1077</v>
      </c>
      <c r="D5043" s="2" t="s">
        <v>6129</v>
      </c>
    </row>
    <row r="5044" spans="1:4" ht="13.05" customHeight="1" x14ac:dyDescent="0.3">
      <c r="A5044" s="2" t="s">
        <v>763</v>
      </c>
      <c r="B5044" s="2" t="s">
        <v>1199</v>
      </c>
      <c r="C5044" s="5" t="s">
        <v>1079</v>
      </c>
      <c r="D5044" s="2" t="s">
        <v>6130</v>
      </c>
    </row>
    <row r="5045" spans="1:4" ht="13.05" customHeight="1" x14ac:dyDescent="0.3">
      <c r="A5045" s="2" t="s">
        <v>763</v>
      </c>
      <c r="B5045" s="2" t="s">
        <v>1199</v>
      </c>
      <c r="C5045" s="5" t="s">
        <v>1081</v>
      </c>
      <c r="D5045" s="2" t="s">
        <v>6131</v>
      </c>
    </row>
    <row r="5046" spans="1:4" ht="13.05" customHeight="1" x14ac:dyDescent="0.3">
      <c r="A5046" s="2" t="s">
        <v>763</v>
      </c>
      <c r="B5046" s="2" t="s">
        <v>1199</v>
      </c>
      <c r="C5046" s="5" t="s">
        <v>1222</v>
      </c>
      <c r="D5046" s="2" t="s">
        <v>6132</v>
      </c>
    </row>
    <row r="5047" spans="1:4" ht="13.05" customHeight="1" x14ac:dyDescent="0.3">
      <c r="A5047" s="2" t="s">
        <v>763</v>
      </c>
      <c r="B5047" s="2" t="s">
        <v>1199</v>
      </c>
      <c r="C5047" s="5" t="s">
        <v>1052</v>
      </c>
      <c r="D5047" s="2" t="s">
        <v>1053</v>
      </c>
    </row>
    <row r="5048" spans="1:4" ht="13.05" customHeight="1" x14ac:dyDescent="0.3">
      <c r="A5048" s="2" t="s">
        <v>765</v>
      </c>
      <c r="B5048" s="2" t="s">
        <v>1199</v>
      </c>
      <c r="C5048" s="5" t="s">
        <v>1044</v>
      </c>
      <c r="D5048" s="2" t="s">
        <v>1045</v>
      </c>
    </row>
    <row r="5049" spans="1:4" ht="13.05" customHeight="1" x14ac:dyDescent="0.3">
      <c r="A5049" s="2" t="s">
        <v>765</v>
      </c>
      <c r="B5049" s="2" t="s">
        <v>1199</v>
      </c>
      <c r="C5049" s="5" t="s">
        <v>1015</v>
      </c>
      <c r="D5049" s="2" t="s">
        <v>1016</v>
      </c>
    </row>
    <row r="5050" spans="1:4" ht="13.05" customHeight="1" x14ac:dyDescent="0.3">
      <c r="A5050" s="2" t="s">
        <v>765</v>
      </c>
      <c r="B5050" s="2" t="s">
        <v>1199</v>
      </c>
      <c r="C5050" s="5" t="s">
        <v>1017</v>
      </c>
      <c r="D5050" s="2" t="s">
        <v>1018</v>
      </c>
    </row>
    <row r="5051" spans="1:4" ht="13.05" customHeight="1" x14ac:dyDescent="0.3">
      <c r="A5051" s="2" t="s">
        <v>765</v>
      </c>
      <c r="B5051" s="2" t="s">
        <v>1199</v>
      </c>
      <c r="C5051" s="5" t="s">
        <v>1019</v>
      </c>
      <c r="D5051" s="2" t="s">
        <v>1020</v>
      </c>
    </row>
    <row r="5052" spans="1:4" ht="13.05" customHeight="1" x14ac:dyDescent="0.3">
      <c r="A5052" s="2" t="s">
        <v>765</v>
      </c>
      <c r="B5052" s="2" t="s">
        <v>1199</v>
      </c>
      <c r="C5052" s="5" t="s">
        <v>1021</v>
      </c>
      <c r="D5052" s="2" t="s">
        <v>890</v>
      </c>
    </row>
    <row r="5053" spans="1:4" ht="13.05" customHeight="1" x14ac:dyDescent="0.3">
      <c r="A5053" s="2" t="s">
        <v>765</v>
      </c>
      <c r="B5053" s="2" t="s">
        <v>1199</v>
      </c>
      <c r="C5053" s="5" t="s">
        <v>1023</v>
      </c>
      <c r="D5053" s="2" t="s">
        <v>6137</v>
      </c>
    </row>
    <row r="5054" spans="1:4" ht="13.05" customHeight="1" x14ac:dyDescent="0.3">
      <c r="A5054" s="2" t="s">
        <v>765</v>
      </c>
      <c r="B5054" s="2" t="s">
        <v>1199</v>
      </c>
      <c r="C5054" s="5" t="s">
        <v>1025</v>
      </c>
      <c r="D5054" s="2" t="s">
        <v>6157</v>
      </c>
    </row>
    <row r="5055" spans="1:4" ht="13.05" customHeight="1" x14ac:dyDescent="0.3">
      <c r="A5055" s="2" t="s">
        <v>765</v>
      </c>
      <c r="B5055" s="2" t="s">
        <v>1199</v>
      </c>
      <c r="C5055" s="5" t="s">
        <v>1027</v>
      </c>
      <c r="D5055" s="2" t="s">
        <v>6117</v>
      </c>
    </row>
    <row r="5056" spans="1:4" ht="13.05" customHeight="1" x14ac:dyDescent="0.3">
      <c r="A5056" s="2" t="s">
        <v>765</v>
      </c>
      <c r="B5056" s="2" t="s">
        <v>1199</v>
      </c>
      <c r="C5056" s="5" t="s">
        <v>1029</v>
      </c>
      <c r="D5056" s="2" t="s">
        <v>6138</v>
      </c>
    </row>
    <row r="5057" spans="1:4" ht="13.05" customHeight="1" x14ac:dyDescent="0.3">
      <c r="A5057" s="2" t="s">
        <v>765</v>
      </c>
      <c r="B5057" s="2" t="s">
        <v>1199</v>
      </c>
      <c r="C5057" s="5" t="s">
        <v>1031</v>
      </c>
      <c r="D5057" s="2" t="s">
        <v>6139</v>
      </c>
    </row>
    <row r="5058" spans="1:4" ht="13.05" customHeight="1" x14ac:dyDescent="0.3">
      <c r="A5058" s="2" t="s">
        <v>765</v>
      </c>
      <c r="B5058" s="2" t="s">
        <v>1199</v>
      </c>
      <c r="C5058" s="5" t="s">
        <v>1040</v>
      </c>
      <c r="D5058" s="2" t="s">
        <v>6140</v>
      </c>
    </row>
    <row r="5059" spans="1:4" ht="13.05" customHeight="1" x14ac:dyDescent="0.3">
      <c r="A5059" s="2" t="s">
        <v>765</v>
      </c>
      <c r="B5059" s="2" t="s">
        <v>1199</v>
      </c>
      <c r="C5059" s="5" t="s">
        <v>1042</v>
      </c>
      <c r="D5059" s="2" t="s">
        <v>6141</v>
      </c>
    </row>
    <row r="5060" spans="1:4" ht="13.05" customHeight="1" x14ac:dyDescent="0.3">
      <c r="A5060" s="2" t="s">
        <v>765</v>
      </c>
      <c r="B5060" s="2" t="s">
        <v>1199</v>
      </c>
      <c r="C5060" s="5" t="s">
        <v>1061</v>
      </c>
      <c r="D5060" s="2" t="s">
        <v>6142</v>
      </c>
    </row>
    <row r="5061" spans="1:4" ht="13.05" customHeight="1" x14ac:dyDescent="0.3">
      <c r="A5061" s="2" t="s">
        <v>765</v>
      </c>
      <c r="B5061" s="2" t="s">
        <v>1199</v>
      </c>
      <c r="C5061" s="5" t="s">
        <v>1063</v>
      </c>
      <c r="D5061" s="2" t="s">
        <v>6143</v>
      </c>
    </row>
    <row r="5062" spans="1:4" ht="13.05" customHeight="1" x14ac:dyDescent="0.3">
      <c r="A5062" s="2" t="s">
        <v>765</v>
      </c>
      <c r="B5062" s="2" t="s">
        <v>1199</v>
      </c>
      <c r="C5062" s="5" t="s">
        <v>1065</v>
      </c>
      <c r="D5062" s="2" t="s">
        <v>6144</v>
      </c>
    </row>
    <row r="5063" spans="1:4" ht="13.05" customHeight="1" x14ac:dyDescent="0.3">
      <c r="A5063" s="2" t="s">
        <v>765</v>
      </c>
      <c r="B5063" s="2" t="s">
        <v>1199</v>
      </c>
      <c r="C5063" s="5" t="s">
        <v>1067</v>
      </c>
      <c r="D5063" s="2" t="s">
        <v>6124</v>
      </c>
    </row>
    <row r="5064" spans="1:4" ht="13.05" customHeight="1" x14ac:dyDescent="0.3">
      <c r="A5064" s="2" t="s">
        <v>765</v>
      </c>
      <c r="B5064" s="2" t="s">
        <v>1199</v>
      </c>
      <c r="C5064" s="5" t="s">
        <v>1069</v>
      </c>
      <c r="D5064" s="2" t="s">
        <v>6145</v>
      </c>
    </row>
    <row r="5065" spans="1:4" ht="13.05" customHeight="1" x14ac:dyDescent="0.3">
      <c r="A5065" s="2" t="s">
        <v>765</v>
      </c>
      <c r="B5065" s="2" t="s">
        <v>1199</v>
      </c>
      <c r="C5065" s="5" t="s">
        <v>1071</v>
      </c>
      <c r="D5065" s="2" t="s">
        <v>6126</v>
      </c>
    </row>
    <row r="5066" spans="1:4" ht="13.05" customHeight="1" x14ac:dyDescent="0.3">
      <c r="A5066" s="2" t="s">
        <v>765</v>
      </c>
      <c r="B5066" s="2" t="s">
        <v>1199</v>
      </c>
      <c r="C5066" s="5" t="s">
        <v>1073</v>
      </c>
      <c r="D5066" s="2" t="s">
        <v>6127</v>
      </c>
    </row>
    <row r="5067" spans="1:4" ht="13.05" customHeight="1" x14ac:dyDescent="0.3">
      <c r="A5067" s="2" t="s">
        <v>765</v>
      </c>
      <c r="B5067" s="2" t="s">
        <v>1199</v>
      </c>
      <c r="C5067" s="5" t="s">
        <v>1075</v>
      </c>
      <c r="D5067" s="2" t="s">
        <v>6128</v>
      </c>
    </row>
    <row r="5068" spans="1:4" ht="13.05" customHeight="1" x14ac:dyDescent="0.3">
      <c r="A5068" s="2" t="s">
        <v>765</v>
      </c>
      <c r="B5068" s="2" t="s">
        <v>1199</v>
      </c>
      <c r="C5068" s="5" t="s">
        <v>1077</v>
      </c>
      <c r="D5068" s="2" t="s">
        <v>6129</v>
      </c>
    </row>
    <row r="5069" spans="1:4" ht="13.05" customHeight="1" x14ac:dyDescent="0.3">
      <c r="A5069" s="2" t="s">
        <v>765</v>
      </c>
      <c r="B5069" s="2" t="s">
        <v>1199</v>
      </c>
      <c r="C5069" s="5" t="s">
        <v>1079</v>
      </c>
      <c r="D5069" s="2" t="s">
        <v>6130</v>
      </c>
    </row>
    <row r="5070" spans="1:4" ht="13.05" customHeight="1" x14ac:dyDescent="0.3">
      <c r="A5070" s="2" t="s">
        <v>765</v>
      </c>
      <c r="B5070" s="2" t="s">
        <v>1199</v>
      </c>
      <c r="C5070" s="5" t="s">
        <v>1081</v>
      </c>
      <c r="D5070" s="2" t="s">
        <v>6131</v>
      </c>
    </row>
    <row r="5071" spans="1:4" ht="13.05" customHeight="1" x14ac:dyDescent="0.3">
      <c r="A5071" s="2" t="s">
        <v>765</v>
      </c>
      <c r="B5071" s="2" t="s">
        <v>1199</v>
      </c>
      <c r="C5071" s="5" t="s">
        <v>1222</v>
      </c>
      <c r="D5071" s="2" t="s">
        <v>6132</v>
      </c>
    </row>
    <row r="5072" spans="1:4" ht="13.05" customHeight="1" x14ac:dyDescent="0.3">
      <c r="A5072" s="2" t="s">
        <v>765</v>
      </c>
      <c r="B5072" s="2" t="s">
        <v>1199</v>
      </c>
      <c r="C5072" s="5" t="s">
        <v>1052</v>
      </c>
      <c r="D5072" s="2" t="s">
        <v>1053</v>
      </c>
    </row>
    <row r="5073" spans="1:4" ht="13.05" customHeight="1" x14ac:dyDescent="0.3">
      <c r="A5073" s="2" t="s">
        <v>767</v>
      </c>
      <c r="B5073" s="2" t="s">
        <v>1199</v>
      </c>
      <c r="C5073" s="5" t="s">
        <v>1044</v>
      </c>
      <c r="D5073" s="2" t="s">
        <v>1045</v>
      </c>
    </row>
    <row r="5074" spans="1:4" ht="13.05" customHeight="1" x14ac:dyDescent="0.3">
      <c r="A5074" s="2" t="s">
        <v>767</v>
      </c>
      <c r="B5074" s="2" t="s">
        <v>1199</v>
      </c>
      <c r="C5074" s="5" t="s">
        <v>1015</v>
      </c>
      <c r="D5074" s="2" t="s">
        <v>1016</v>
      </c>
    </row>
    <row r="5075" spans="1:4" ht="13.05" customHeight="1" x14ac:dyDescent="0.3">
      <c r="A5075" s="2" t="s">
        <v>767</v>
      </c>
      <c r="B5075" s="2" t="s">
        <v>1199</v>
      </c>
      <c r="C5075" s="5" t="s">
        <v>1017</v>
      </c>
      <c r="D5075" s="2" t="s">
        <v>1018</v>
      </c>
    </row>
    <row r="5076" spans="1:4" ht="13.05" customHeight="1" x14ac:dyDescent="0.3">
      <c r="A5076" s="2" t="s">
        <v>767</v>
      </c>
      <c r="B5076" s="2" t="s">
        <v>1199</v>
      </c>
      <c r="C5076" s="5" t="s">
        <v>1019</v>
      </c>
      <c r="D5076" s="2" t="s">
        <v>1020</v>
      </c>
    </row>
    <row r="5077" spans="1:4" ht="13.05" customHeight="1" x14ac:dyDescent="0.3">
      <c r="A5077" s="2" t="s">
        <v>767</v>
      </c>
      <c r="B5077" s="2" t="s">
        <v>1199</v>
      </c>
      <c r="C5077" s="5" t="s">
        <v>1021</v>
      </c>
      <c r="D5077" s="2" t="s">
        <v>890</v>
      </c>
    </row>
    <row r="5078" spans="1:4" ht="13.05" customHeight="1" x14ac:dyDescent="0.3">
      <c r="A5078" s="2" t="s">
        <v>767</v>
      </c>
      <c r="B5078" s="2" t="s">
        <v>1199</v>
      </c>
      <c r="C5078" s="5" t="s">
        <v>1023</v>
      </c>
      <c r="D5078" s="2" t="s">
        <v>6137</v>
      </c>
    </row>
    <row r="5079" spans="1:4" ht="13.05" customHeight="1" x14ac:dyDescent="0.3">
      <c r="A5079" s="2" t="s">
        <v>767</v>
      </c>
      <c r="B5079" s="2" t="s">
        <v>1199</v>
      </c>
      <c r="C5079" s="5" t="s">
        <v>1025</v>
      </c>
      <c r="D5079" s="2" t="s">
        <v>6157</v>
      </c>
    </row>
    <row r="5080" spans="1:4" ht="13.05" customHeight="1" x14ac:dyDescent="0.3">
      <c r="A5080" s="2" t="s">
        <v>767</v>
      </c>
      <c r="B5080" s="2" t="s">
        <v>1199</v>
      </c>
      <c r="C5080" s="5" t="s">
        <v>1027</v>
      </c>
      <c r="D5080" s="2" t="s">
        <v>6117</v>
      </c>
    </row>
    <row r="5081" spans="1:4" ht="13.05" customHeight="1" x14ac:dyDescent="0.3">
      <c r="A5081" s="2" t="s">
        <v>767</v>
      </c>
      <c r="B5081" s="2" t="s">
        <v>1199</v>
      </c>
      <c r="C5081" s="5" t="s">
        <v>1029</v>
      </c>
      <c r="D5081" s="2" t="s">
        <v>6138</v>
      </c>
    </row>
    <row r="5082" spans="1:4" ht="13.05" customHeight="1" x14ac:dyDescent="0.3">
      <c r="A5082" s="2" t="s">
        <v>767</v>
      </c>
      <c r="B5082" s="2" t="s">
        <v>1199</v>
      </c>
      <c r="C5082" s="5" t="s">
        <v>1031</v>
      </c>
      <c r="D5082" s="2" t="s">
        <v>6139</v>
      </c>
    </row>
    <row r="5083" spans="1:4" ht="13.05" customHeight="1" x14ac:dyDescent="0.3">
      <c r="A5083" s="2" t="s">
        <v>767</v>
      </c>
      <c r="B5083" s="2" t="s">
        <v>1199</v>
      </c>
      <c r="C5083" s="5" t="s">
        <v>1040</v>
      </c>
      <c r="D5083" s="2" t="s">
        <v>6140</v>
      </c>
    </row>
    <row r="5084" spans="1:4" ht="13.05" customHeight="1" x14ac:dyDescent="0.3">
      <c r="A5084" s="2" t="s">
        <v>767</v>
      </c>
      <c r="B5084" s="2" t="s">
        <v>1199</v>
      </c>
      <c r="C5084" s="5" t="s">
        <v>1042</v>
      </c>
      <c r="D5084" s="2" t="s">
        <v>6141</v>
      </c>
    </row>
    <row r="5085" spans="1:4" ht="13.05" customHeight="1" x14ac:dyDescent="0.3">
      <c r="A5085" s="2" t="s">
        <v>767</v>
      </c>
      <c r="B5085" s="2" t="s">
        <v>1199</v>
      </c>
      <c r="C5085" s="5" t="s">
        <v>1061</v>
      </c>
      <c r="D5085" s="2" t="s">
        <v>6142</v>
      </c>
    </row>
    <row r="5086" spans="1:4" ht="13.05" customHeight="1" x14ac:dyDescent="0.3">
      <c r="A5086" s="2" t="s">
        <v>767</v>
      </c>
      <c r="B5086" s="2" t="s">
        <v>1199</v>
      </c>
      <c r="C5086" s="5" t="s">
        <v>1063</v>
      </c>
      <c r="D5086" s="2" t="s">
        <v>6143</v>
      </c>
    </row>
    <row r="5087" spans="1:4" ht="13.05" customHeight="1" x14ac:dyDescent="0.3">
      <c r="A5087" s="2" t="s">
        <v>767</v>
      </c>
      <c r="B5087" s="2" t="s">
        <v>1199</v>
      </c>
      <c r="C5087" s="5" t="s">
        <v>1065</v>
      </c>
      <c r="D5087" s="2" t="s">
        <v>6144</v>
      </c>
    </row>
    <row r="5088" spans="1:4" ht="13.05" customHeight="1" x14ac:dyDescent="0.3">
      <c r="A5088" s="2" t="s">
        <v>767</v>
      </c>
      <c r="B5088" s="2" t="s">
        <v>1199</v>
      </c>
      <c r="C5088" s="5" t="s">
        <v>1067</v>
      </c>
      <c r="D5088" s="2" t="s">
        <v>6124</v>
      </c>
    </row>
    <row r="5089" spans="1:4" ht="13.05" customHeight="1" x14ac:dyDescent="0.3">
      <c r="A5089" s="2" t="s">
        <v>767</v>
      </c>
      <c r="B5089" s="2" t="s">
        <v>1199</v>
      </c>
      <c r="C5089" s="5" t="s">
        <v>1069</v>
      </c>
      <c r="D5089" s="2" t="s">
        <v>6145</v>
      </c>
    </row>
    <row r="5090" spans="1:4" ht="13.05" customHeight="1" x14ac:dyDescent="0.3">
      <c r="A5090" s="2" t="s">
        <v>767</v>
      </c>
      <c r="B5090" s="2" t="s">
        <v>1199</v>
      </c>
      <c r="C5090" s="5" t="s">
        <v>1071</v>
      </c>
      <c r="D5090" s="2" t="s">
        <v>6126</v>
      </c>
    </row>
    <row r="5091" spans="1:4" ht="13.05" customHeight="1" x14ac:dyDescent="0.3">
      <c r="A5091" s="2" t="s">
        <v>767</v>
      </c>
      <c r="B5091" s="2" t="s">
        <v>1199</v>
      </c>
      <c r="C5091" s="5" t="s">
        <v>1073</v>
      </c>
      <c r="D5091" s="2" t="s">
        <v>6127</v>
      </c>
    </row>
    <row r="5092" spans="1:4" ht="13.05" customHeight="1" x14ac:dyDescent="0.3">
      <c r="A5092" s="2" t="s">
        <v>767</v>
      </c>
      <c r="B5092" s="2" t="s">
        <v>1199</v>
      </c>
      <c r="C5092" s="5" t="s">
        <v>1075</v>
      </c>
      <c r="D5092" s="2" t="s">
        <v>6128</v>
      </c>
    </row>
    <row r="5093" spans="1:4" ht="13.05" customHeight="1" x14ac:dyDescent="0.3">
      <c r="A5093" s="2" t="s">
        <v>767</v>
      </c>
      <c r="B5093" s="2" t="s">
        <v>1199</v>
      </c>
      <c r="C5093" s="5" t="s">
        <v>1077</v>
      </c>
      <c r="D5093" s="2" t="s">
        <v>6129</v>
      </c>
    </row>
    <row r="5094" spans="1:4" ht="13.05" customHeight="1" x14ac:dyDescent="0.3">
      <c r="A5094" s="2" t="s">
        <v>767</v>
      </c>
      <c r="B5094" s="2" t="s">
        <v>1199</v>
      </c>
      <c r="C5094" s="5" t="s">
        <v>1079</v>
      </c>
      <c r="D5094" s="2" t="s">
        <v>6130</v>
      </c>
    </row>
    <row r="5095" spans="1:4" ht="13.05" customHeight="1" x14ac:dyDescent="0.3">
      <c r="A5095" s="2" t="s">
        <v>767</v>
      </c>
      <c r="B5095" s="2" t="s">
        <v>1199</v>
      </c>
      <c r="C5095" s="5" t="s">
        <v>1081</v>
      </c>
      <c r="D5095" s="2" t="s">
        <v>6131</v>
      </c>
    </row>
    <row r="5096" spans="1:4" ht="13.05" customHeight="1" x14ac:dyDescent="0.3">
      <c r="A5096" s="2" t="s">
        <v>767</v>
      </c>
      <c r="B5096" s="2" t="s">
        <v>1199</v>
      </c>
      <c r="C5096" s="5" t="s">
        <v>1222</v>
      </c>
      <c r="D5096" s="2" t="s">
        <v>6132</v>
      </c>
    </row>
    <row r="5097" spans="1:4" ht="13.05" customHeight="1" x14ac:dyDescent="0.3">
      <c r="A5097" s="2" t="s">
        <v>767</v>
      </c>
      <c r="B5097" s="2" t="s">
        <v>1199</v>
      </c>
      <c r="C5097" s="5" t="s">
        <v>1052</v>
      </c>
      <c r="D5097" s="2" t="s">
        <v>1053</v>
      </c>
    </row>
    <row r="5098" spans="1:4" ht="13.05" customHeight="1" x14ac:dyDescent="0.3">
      <c r="A5098" s="2" t="s">
        <v>769</v>
      </c>
      <c r="B5098" s="2" t="s">
        <v>1199</v>
      </c>
      <c r="C5098" s="5" t="s">
        <v>1044</v>
      </c>
      <c r="D5098" s="2" t="s">
        <v>1045</v>
      </c>
    </row>
    <row r="5099" spans="1:4" ht="13.05" customHeight="1" x14ac:dyDescent="0.3">
      <c r="A5099" s="2" t="s">
        <v>769</v>
      </c>
      <c r="B5099" s="2" t="s">
        <v>1199</v>
      </c>
      <c r="C5099" s="5" t="s">
        <v>1015</v>
      </c>
      <c r="D5099" s="2" t="s">
        <v>1016</v>
      </c>
    </row>
    <row r="5100" spans="1:4" ht="13.05" customHeight="1" x14ac:dyDescent="0.3">
      <c r="A5100" s="2" t="s">
        <v>769</v>
      </c>
      <c r="B5100" s="2" t="s">
        <v>1199</v>
      </c>
      <c r="C5100" s="5" t="s">
        <v>1017</v>
      </c>
      <c r="D5100" s="2" t="s">
        <v>1018</v>
      </c>
    </row>
    <row r="5101" spans="1:4" ht="13.05" customHeight="1" x14ac:dyDescent="0.3">
      <c r="A5101" s="2" t="s">
        <v>769</v>
      </c>
      <c r="B5101" s="2" t="s">
        <v>1199</v>
      </c>
      <c r="C5101" s="5" t="s">
        <v>1019</v>
      </c>
      <c r="D5101" s="2" t="s">
        <v>1020</v>
      </c>
    </row>
    <row r="5102" spans="1:4" ht="13.05" customHeight="1" x14ac:dyDescent="0.3">
      <c r="A5102" s="2" t="s">
        <v>769</v>
      </c>
      <c r="B5102" s="2" t="s">
        <v>1199</v>
      </c>
      <c r="C5102" s="5" t="s">
        <v>1021</v>
      </c>
      <c r="D5102" s="2" t="s">
        <v>890</v>
      </c>
    </row>
    <row r="5103" spans="1:4" ht="13.05" customHeight="1" x14ac:dyDescent="0.3">
      <c r="A5103" s="2" t="s">
        <v>769</v>
      </c>
      <c r="B5103" s="2" t="s">
        <v>1199</v>
      </c>
      <c r="C5103" s="5" t="s">
        <v>1023</v>
      </c>
      <c r="D5103" s="2" t="s">
        <v>6137</v>
      </c>
    </row>
    <row r="5104" spans="1:4" ht="13.05" customHeight="1" x14ac:dyDescent="0.3">
      <c r="A5104" s="2" t="s">
        <v>769</v>
      </c>
      <c r="B5104" s="2" t="s">
        <v>1199</v>
      </c>
      <c r="C5104" s="5" t="s">
        <v>1025</v>
      </c>
      <c r="D5104" s="2" t="s">
        <v>6157</v>
      </c>
    </row>
    <row r="5105" spans="1:4" ht="13.05" customHeight="1" x14ac:dyDescent="0.3">
      <c r="A5105" s="2" t="s">
        <v>769</v>
      </c>
      <c r="B5105" s="2" t="s">
        <v>1199</v>
      </c>
      <c r="C5105" s="5" t="s">
        <v>1027</v>
      </c>
      <c r="D5105" s="2" t="s">
        <v>6117</v>
      </c>
    </row>
    <row r="5106" spans="1:4" ht="13.05" customHeight="1" x14ac:dyDescent="0.3">
      <c r="A5106" s="2" t="s">
        <v>769</v>
      </c>
      <c r="B5106" s="2" t="s">
        <v>1199</v>
      </c>
      <c r="C5106" s="5" t="s">
        <v>1029</v>
      </c>
      <c r="D5106" s="2" t="s">
        <v>6138</v>
      </c>
    </row>
    <row r="5107" spans="1:4" ht="13.05" customHeight="1" x14ac:dyDescent="0.3">
      <c r="A5107" s="2" t="s">
        <v>769</v>
      </c>
      <c r="B5107" s="2" t="s">
        <v>1199</v>
      </c>
      <c r="C5107" s="5" t="s">
        <v>1031</v>
      </c>
      <c r="D5107" s="2" t="s">
        <v>6139</v>
      </c>
    </row>
    <row r="5108" spans="1:4" ht="13.05" customHeight="1" x14ac:dyDescent="0.3">
      <c r="A5108" s="2" t="s">
        <v>769</v>
      </c>
      <c r="B5108" s="2" t="s">
        <v>1199</v>
      </c>
      <c r="C5108" s="5" t="s">
        <v>1040</v>
      </c>
      <c r="D5108" s="2" t="s">
        <v>6140</v>
      </c>
    </row>
    <row r="5109" spans="1:4" ht="13.05" customHeight="1" x14ac:dyDescent="0.3">
      <c r="A5109" s="2" t="s">
        <v>769</v>
      </c>
      <c r="B5109" s="2" t="s">
        <v>1199</v>
      </c>
      <c r="C5109" s="5" t="s">
        <v>1042</v>
      </c>
      <c r="D5109" s="2" t="s">
        <v>6141</v>
      </c>
    </row>
    <row r="5110" spans="1:4" ht="13.05" customHeight="1" x14ac:dyDescent="0.3">
      <c r="A5110" s="2" t="s">
        <v>769</v>
      </c>
      <c r="B5110" s="2" t="s">
        <v>1199</v>
      </c>
      <c r="C5110" s="5" t="s">
        <v>1061</v>
      </c>
      <c r="D5110" s="2" t="s">
        <v>6142</v>
      </c>
    </row>
    <row r="5111" spans="1:4" ht="13.05" customHeight="1" x14ac:dyDescent="0.3">
      <c r="A5111" s="2" t="s">
        <v>769</v>
      </c>
      <c r="B5111" s="2" t="s">
        <v>1199</v>
      </c>
      <c r="C5111" s="5" t="s">
        <v>1063</v>
      </c>
      <c r="D5111" s="2" t="s">
        <v>6143</v>
      </c>
    </row>
    <row r="5112" spans="1:4" ht="13.05" customHeight="1" x14ac:dyDescent="0.3">
      <c r="A5112" s="2" t="s">
        <v>769</v>
      </c>
      <c r="B5112" s="2" t="s">
        <v>1199</v>
      </c>
      <c r="C5112" s="5" t="s">
        <v>1065</v>
      </c>
      <c r="D5112" s="2" t="s">
        <v>6144</v>
      </c>
    </row>
    <row r="5113" spans="1:4" ht="13.05" customHeight="1" x14ac:dyDescent="0.3">
      <c r="A5113" s="2" t="s">
        <v>769</v>
      </c>
      <c r="B5113" s="2" t="s">
        <v>1199</v>
      </c>
      <c r="C5113" s="5" t="s">
        <v>1067</v>
      </c>
      <c r="D5113" s="2" t="s">
        <v>6124</v>
      </c>
    </row>
    <row r="5114" spans="1:4" ht="13.05" customHeight="1" x14ac:dyDescent="0.3">
      <c r="A5114" s="2" t="s">
        <v>769</v>
      </c>
      <c r="B5114" s="2" t="s">
        <v>1199</v>
      </c>
      <c r="C5114" s="5" t="s">
        <v>1069</v>
      </c>
      <c r="D5114" s="2" t="s">
        <v>6145</v>
      </c>
    </row>
    <row r="5115" spans="1:4" ht="13.05" customHeight="1" x14ac:dyDescent="0.3">
      <c r="A5115" s="2" t="s">
        <v>769</v>
      </c>
      <c r="B5115" s="2" t="s">
        <v>1199</v>
      </c>
      <c r="C5115" s="5" t="s">
        <v>1071</v>
      </c>
      <c r="D5115" s="2" t="s">
        <v>6126</v>
      </c>
    </row>
    <row r="5116" spans="1:4" ht="13.05" customHeight="1" x14ac:dyDescent="0.3">
      <c r="A5116" s="2" t="s">
        <v>769</v>
      </c>
      <c r="B5116" s="2" t="s">
        <v>1199</v>
      </c>
      <c r="C5116" s="5" t="s">
        <v>1073</v>
      </c>
      <c r="D5116" s="2" t="s">
        <v>6127</v>
      </c>
    </row>
    <row r="5117" spans="1:4" ht="13.05" customHeight="1" x14ac:dyDescent="0.3">
      <c r="A5117" s="2" t="s">
        <v>769</v>
      </c>
      <c r="B5117" s="2" t="s">
        <v>1199</v>
      </c>
      <c r="C5117" s="5" t="s">
        <v>1075</v>
      </c>
      <c r="D5117" s="2" t="s">
        <v>6128</v>
      </c>
    </row>
    <row r="5118" spans="1:4" ht="13.05" customHeight="1" x14ac:dyDescent="0.3">
      <c r="A5118" s="2" t="s">
        <v>769</v>
      </c>
      <c r="B5118" s="2" t="s">
        <v>1199</v>
      </c>
      <c r="C5118" s="5" t="s">
        <v>1077</v>
      </c>
      <c r="D5118" s="2" t="s">
        <v>6129</v>
      </c>
    </row>
    <row r="5119" spans="1:4" ht="13.05" customHeight="1" x14ac:dyDescent="0.3">
      <c r="A5119" s="2" t="s">
        <v>769</v>
      </c>
      <c r="B5119" s="2" t="s">
        <v>1199</v>
      </c>
      <c r="C5119" s="5" t="s">
        <v>1079</v>
      </c>
      <c r="D5119" s="2" t="s">
        <v>6130</v>
      </c>
    </row>
    <row r="5120" spans="1:4" ht="13.05" customHeight="1" x14ac:dyDescent="0.3">
      <c r="A5120" s="2" t="s">
        <v>769</v>
      </c>
      <c r="B5120" s="2" t="s">
        <v>1199</v>
      </c>
      <c r="C5120" s="5" t="s">
        <v>1081</v>
      </c>
      <c r="D5120" s="2" t="s">
        <v>6131</v>
      </c>
    </row>
    <row r="5121" spans="1:4" ht="13.05" customHeight="1" x14ac:dyDescent="0.3">
      <c r="A5121" s="2" t="s">
        <v>769</v>
      </c>
      <c r="B5121" s="2" t="s">
        <v>1199</v>
      </c>
      <c r="C5121" s="5" t="s">
        <v>1222</v>
      </c>
      <c r="D5121" s="2" t="s">
        <v>6132</v>
      </c>
    </row>
    <row r="5122" spans="1:4" ht="13.05" customHeight="1" x14ac:dyDescent="0.3">
      <c r="A5122" s="2" t="s">
        <v>769</v>
      </c>
      <c r="B5122" s="2" t="s">
        <v>1199</v>
      </c>
      <c r="C5122" s="5" t="s">
        <v>1052</v>
      </c>
      <c r="D5122" s="2" t="s">
        <v>1053</v>
      </c>
    </row>
    <row r="5123" spans="1:4" ht="13.05" customHeight="1" x14ac:dyDescent="0.3">
      <c r="A5123" s="2" t="s">
        <v>771</v>
      </c>
      <c r="B5123" s="2" t="s">
        <v>1199</v>
      </c>
      <c r="C5123" s="5" t="s">
        <v>1044</v>
      </c>
      <c r="D5123" s="2" t="s">
        <v>1045</v>
      </c>
    </row>
    <row r="5124" spans="1:4" ht="13.05" customHeight="1" x14ac:dyDescent="0.3">
      <c r="A5124" s="2" t="s">
        <v>771</v>
      </c>
      <c r="B5124" s="2" t="s">
        <v>1199</v>
      </c>
      <c r="C5124" s="5" t="s">
        <v>1015</v>
      </c>
      <c r="D5124" s="2" t="s">
        <v>1016</v>
      </c>
    </row>
    <row r="5125" spans="1:4" ht="13.05" customHeight="1" x14ac:dyDescent="0.3">
      <c r="A5125" s="2" t="s">
        <v>771</v>
      </c>
      <c r="B5125" s="2" t="s">
        <v>1199</v>
      </c>
      <c r="C5125" s="5" t="s">
        <v>1017</v>
      </c>
      <c r="D5125" s="2" t="s">
        <v>1018</v>
      </c>
    </row>
    <row r="5126" spans="1:4" ht="13.05" customHeight="1" x14ac:dyDescent="0.3">
      <c r="A5126" s="2" t="s">
        <v>771</v>
      </c>
      <c r="B5126" s="2" t="s">
        <v>1199</v>
      </c>
      <c r="C5126" s="5" t="s">
        <v>1019</v>
      </c>
      <c r="D5126" s="2" t="s">
        <v>1020</v>
      </c>
    </row>
    <row r="5127" spans="1:4" ht="13.05" customHeight="1" x14ac:dyDescent="0.3">
      <c r="A5127" s="2" t="s">
        <v>771</v>
      </c>
      <c r="B5127" s="2" t="s">
        <v>1199</v>
      </c>
      <c r="C5127" s="5" t="s">
        <v>1021</v>
      </c>
      <c r="D5127" s="2" t="s">
        <v>890</v>
      </c>
    </row>
    <row r="5128" spans="1:4" ht="13.05" customHeight="1" x14ac:dyDescent="0.3">
      <c r="A5128" s="2" t="s">
        <v>771</v>
      </c>
      <c r="B5128" s="2" t="s">
        <v>1199</v>
      </c>
      <c r="C5128" s="5" t="s">
        <v>1023</v>
      </c>
      <c r="D5128" s="2" t="s">
        <v>6137</v>
      </c>
    </row>
    <row r="5129" spans="1:4" ht="13.05" customHeight="1" x14ac:dyDescent="0.3">
      <c r="A5129" s="2" t="s">
        <v>771</v>
      </c>
      <c r="B5129" s="2" t="s">
        <v>1199</v>
      </c>
      <c r="C5129" s="5" t="s">
        <v>1025</v>
      </c>
      <c r="D5129" s="2" t="s">
        <v>6157</v>
      </c>
    </row>
    <row r="5130" spans="1:4" ht="13.05" customHeight="1" x14ac:dyDescent="0.3">
      <c r="A5130" s="2" t="s">
        <v>771</v>
      </c>
      <c r="B5130" s="2" t="s">
        <v>1199</v>
      </c>
      <c r="C5130" s="5" t="s">
        <v>1027</v>
      </c>
      <c r="D5130" s="2" t="s">
        <v>6117</v>
      </c>
    </row>
    <row r="5131" spans="1:4" ht="13.05" customHeight="1" x14ac:dyDescent="0.3">
      <c r="A5131" s="2" t="s">
        <v>771</v>
      </c>
      <c r="B5131" s="2" t="s">
        <v>1199</v>
      </c>
      <c r="C5131" s="5" t="s">
        <v>1029</v>
      </c>
      <c r="D5131" s="2" t="s">
        <v>6138</v>
      </c>
    </row>
    <row r="5132" spans="1:4" ht="13.05" customHeight="1" x14ac:dyDescent="0.3">
      <c r="A5132" s="2" t="s">
        <v>771</v>
      </c>
      <c r="B5132" s="2" t="s">
        <v>1199</v>
      </c>
      <c r="C5132" s="5" t="s">
        <v>1031</v>
      </c>
      <c r="D5132" s="2" t="s">
        <v>6139</v>
      </c>
    </row>
    <row r="5133" spans="1:4" ht="13.05" customHeight="1" x14ac:dyDescent="0.3">
      <c r="A5133" s="2" t="s">
        <v>771</v>
      </c>
      <c r="B5133" s="2" t="s">
        <v>1199</v>
      </c>
      <c r="C5133" s="5" t="s">
        <v>1040</v>
      </c>
      <c r="D5133" s="2" t="s">
        <v>6140</v>
      </c>
    </row>
    <row r="5134" spans="1:4" ht="13.05" customHeight="1" x14ac:dyDescent="0.3">
      <c r="A5134" s="2" t="s">
        <v>771</v>
      </c>
      <c r="B5134" s="2" t="s">
        <v>1199</v>
      </c>
      <c r="C5134" s="5" t="s">
        <v>1042</v>
      </c>
      <c r="D5134" s="2" t="s">
        <v>6141</v>
      </c>
    </row>
    <row r="5135" spans="1:4" ht="13.05" customHeight="1" x14ac:dyDescent="0.3">
      <c r="A5135" s="2" t="s">
        <v>771</v>
      </c>
      <c r="B5135" s="2" t="s">
        <v>1199</v>
      </c>
      <c r="C5135" s="5" t="s">
        <v>1061</v>
      </c>
      <c r="D5135" s="2" t="s">
        <v>6142</v>
      </c>
    </row>
    <row r="5136" spans="1:4" ht="13.05" customHeight="1" x14ac:dyDescent="0.3">
      <c r="A5136" s="2" t="s">
        <v>771</v>
      </c>
      <c r="B5136" s="2" t="s">
        <v>1199</v>
      </c>
      <c r="C5136" s="5" t="s">
        <v>1063</v>
      </c>
      <c r="D5136" s="2" t="s">
        <v>6143</v>
      </c>
    </row>
    <row r="5137" spans="1:4" ht="13.05" customHeight="1" x14ac:dyDescent="0.3">
      <c r="A5137" s="2" t="s">
        <v>771</v>
      </c>
      <c r="B5137" s="2" t="s">
        <v>1199</v>
      </c>
      <c r="C5137" s="5" t="s">
        <v>1065</v>
      </c>
      <c r="D5137" s="2" t="s">
        <v>6144</v>
      </c>
    </row>
    <row r="5138" spans="1:4" ht="13.05" customHeight="1" x14ac:dyDescent="0.3">
      <c r="A5138" s="2" t="s">
        <v>771</v>
      </c>
      <c r="B5138" s="2" t="s">
        <v>1199</v>
      </c>
      <c r="C5138" s="5" t="s">
        <v>1067</v>
      </c>
      <c r="D5138" s="2" t="s">
        <v>6124</v>
      </c>
    </row>
    <row r="5139" spans="1:4" ht="13.05" customHeight="1" x14ac:dyDescent="0.3">
      <c r="A5139" s="2" t="s">
        <v>771</v>
      </c>
      <c r="B5139" s="2" t="s">
        <v>1199</v>
      </c>
      <c r="C5139" s="5" t="s">
        <v>1069</v>
      </c>
      <c r="D5139" s="2" t="s">
        <v>6145</v>
      </c>
    </row>
    <row r="5140" spans="1:4" ht="13.05" customHeight="1" x14ac:dyDescent="0.3">
      <c r="A5140" s="2" t="s">
        <v>771</v>
      </c>
      <c r="B5140" s="2" t="s">
        <v>1199</v>
      </c>
      <c r="C5140" s="5" t="s">
        <v>1071</v>
      </c>
      <c r="D5140" s="2" t="s">
        <v>6126</v>
      </c>
    </row>
    <row r="5141" spans="1:4" ht="13.05" customHeight="1" x14ac:dyDescent="0.3">
      <c r="A5141" s="2" t="s">
        <v>771</v>
      </c>
      <c r="B5141" s="2" t="s">
        <v>1199</v>
      </c>
      <c r="C5141" s="5" t="s">
        <v>1073</v>
      </c>
      <c r="D5141" s="2" t="s">
        <v>6127</v>
      </c>
    </row>
    <row r="5142" spans="1:4" ht="13.05" customHeight="1" x14ac:dyDescent="0.3">
      <c r="A5142" s="2" t="s">
        <v>771</v>
      </c>
      <c r="B5142" s="2" t="s">
        <v>1199</v>
      </c>
      <c r="C5142" s="5" t="s">
        <v>1075</v>
      </c>
      <c r="D5142" s="2" t="s">
        <v>6128</v>
      </c>
    </row>
    <row r="5143" spans="1:4" ht="13.05" customHeight="1" x14ac:dyDescent="0.3">
      <c r="A5143" s="2" t="s">
        <v>771</v>
      </c>
      <c r="B5143" s="2" t="s">
        <v>1199</v>
      </c>
      <c r="C5143" s="5" t="s">
        <v>1077</v>
      </c>
      <c r="D5143" s="2" t="s">
        <v>6129</v>
      </c>
    </row>
    <row r="5144" spans="1:4" ht="13.05" customHeight="1" x14ac:dyDescent="0.3">
      <c r="A5144" s="2" t="s">
        <v>771</v>
      </c>
      <c r="B5144" s="2" t="s">
        <v>1199</v>
      </c>
      <c r="C5144" s="5" t="s">
        <v>1079</v>
      </c>
      <c r="D5144" s="2" t="s">
        <v>6130</v>
      </c>
    </row>
    <row r="5145" spans="1:4" ht="13.05" customHeight="1" x14ac:dyDescent="0.3">
      <c r="A5145" s="2" t="s">
        <v>771</v>
      </c>
      <c r="B5145" s="2" t="s">
        <v>1199</v>
      </c>
      <c r="C5145" s="5" t="s">
        <v>1081</v>
      </c>
      <c r="D5145" s="2" t="s">
        <v>6131</v>
      </c>
    </row>
    <row r="5146" spans="1:4" ht="13.05" customHeight="1" x14ac:dyDescent="0.3">
      <c r="A5146" s="2" t="s">
        <v>771</v>
      </c>
      <c r="B5146" s="2" t="s">
        <v>1199</v>
      </c>
      <c r="C5146" s="5" t="s">
        <v>1222</v>
      </c>
      <c r="D5146" s="2" t="s">
        <v>6132</v>
      </c>
    </row>
    <row r="5147" spans="1:4" ht="13.05" customHeight="1" x14ac:dyDescent="0.3">
      <c r="A5147" s="2" t="s">
        <v>771</v>
      </c>
      <c r="B5147" s="2" t="s">
        <v>1199</v>
      </c>
      <c r="C5147" s="5" t="s">
        <v>1052</v>
      </c>
      <c r="D5147" s="2" t="s">
        <v>1053</v>
      </c>
    </row>
    <row r="5148" spans="1:4" ht="13.05" customHeight="1" x14ac:dyDescent="0.3">
      <c r="A5148" s="2" t="s">
        <v>773</v>
      </c>
      <c r="B5148" s="2" t="s">
        <v>1199</v>
      </c>
      <c r="C5148" s="5" t="s">
        <v>1044</v>
      </c>
      <c r="D5148" s="2" t="s">
        <v>1045</v>
      </c>
    </row>
    <row r="5149" spans="1:4" ht="13.05" customHeight="1" x14ac:dyDescent="0.3">
      <c r="A5149" s="2" t="s">
        <v>773</v>
      </c>
      <c r="B5149" s="2" t="s">
        <v>1199</v>
      </c>
      <c r="C5149" s="5" t="s">
        <v>1015</v>
      </c>
      <c r="D5149" s="2" t="s">
        <v>1016</v>
      </c>
    </row>
    <row r="5150" spans="1:4" ht="13.05" customHeight="1" x14ac:dyDescent="0.3">
      <c r="A5150" s="2" t="s">
        <v>773</v>
      </c>
      <c r="B5150" s="2" t="s">
        <v>1199</v>
      </c>
      <c r="C5150" s="5" t="s">
        <v>1017</v>
      </c>
      <c r="D5150" s="2" t="s">
        <v>1018</v>
      </c>
    </row>
    <row r="5151" spans="1:4" ht="13.05" customHeight="1" x14ac:dyDescent="0.3">
      <c r="A5151" s="2" t="s">
        <v>773</v>
      </c>
      <c r="B5151" s="2" t="s">
        <v>1199</v>
      </c>
      <c r="C5151" s="5" t="s">
        <v>1019</v>
      </c>
      <c r="D5151" s="2" t="s">
        <v>1020</v>
      </c>
    </row>
    <row r="5152" spans="1:4" ht="13.05" customHeight="1" x14ac:dyDescent="0.3">
      <c r="A5152" s="2" t="s">
        <v>773</v>
      </c>
      <c r="B5152" s="2" t="s">
        <v>1199</v>
      </c>
      <c r="C5152" s="5" t="s">
        <v>1021</v>
      </c>
      <c r="D5152" s="2" t="s">
        <v>890</v>
      </c>
    </row>
    <row r="5153" spans="1:4" ht="13.05" customHeight="1" x14ac:dyDescent="0.3">
      <c r="A5153" s="2" t="s">
        <v>773</v>
      </c>
      <c r="B5153" s="2" t="s">
        <v>1199</v>
      </c>
      <c r="C5153" s="5" t="s">
        <v>1023</v>
      </c>
      <c r="D5153" s="2" t="s">
        <v>6137</v>
      </c>
    </row>
    <row r="5154" spans="1:4" ht="13.05" customHeight="1" x14ac:dyDescent="0.3">
      <c r="A5154" s="2" t="s">
        <v>773</v>
      </c>
      <c r="B5154" s="2" t="s">
        <v>1199</v>
      </c>
      <c r="C5154" s="5" t="s">
        <v>1025</v>
      </c>
      <c r="D5154" s="2" t="s">
        <v>6157</v>
      </c>
    </row>
    <row r="5155" spans="1:4" ht="13.05" customHeight="1" x14ac:dyDescent="0.3">
      <c r="A5155" s="2" t="s">
        <v>773</v>
      </c>
      <c r="B5155" s="2" t="s">
        <v>1199</v>
      </c>
      <c r="C5155" s="5" t="s">
        <v>1027</v>
      </c>
      <c r="D5155" s="2" t="s">
        <v>6117</v>
      </c>
    </row>
    <row r="5156" spans="1:4" ht="13.05" customHeight="1" x14ac:dyDescent="0.3">
      <c r="A5156" s="2" t="s">
        <v>773</v>
      </c>
      <c r="B5156" s="2" t="s">
        <v>1199</v>
      </c>
      <c r="C5156" s="5" t="s">
        <v>1029</v>
      </c>
      <c r="D5156" s="2" t="s">
        <v>6138</v>
      </c>
    </row>
    <row r="5157" spans="1:4" ht="13.05" customHeight="1" x14ac:dyDescent="0.3">
      <c r="A5157" s="2" t="s">
        <v>773</v>
      </c>
      <c r="B5157" s="2" t="s">
        <v>1199</v>
      </c>
      <c r="C5157" s="5" t="s">
        <v>1031</v>
      </c>
      <c r="D5157" s="2" t="s">
        <v>6139</v>
      </c>
    </row>
    <row r="5158" spans="1:4" ht="13.05" customHeight="1" x14ac:dyDescent="0.3">
      <c r="A5158" s="2" t="s">
        <v>773</v>
      </c>
      <c r="B5158" s="2" t="s">
        <v>1199</v>
      </c>
      <c r="C5158" s="5" t="s">
        <v>1040</v>
      </c>
      <c r="D5158" s="2" t="s">
        <v>6140</v>
      </c>
    </row>
    <row r="5159" spans="1:4" ht="13.05" customHeight="1" x14ac:dyDescent="0.3">
      <c r="A5159" s="2" t="s">
        <v>773</v>
      </c>
      <c r="B5159" s="2" t="s">
        <v>1199</v>
      </c>
      <c r="C5159" s="5" t="s">
        <v>1042</v>
      </c>
      <c r="D5159" s="2" t="s">
        <v>6141</v>
      </c>
    </row>
    <row r="5160" spans="1:4" ht="13.05" customHeight="1" x14ac:dyDescent="0.3">
      <c r="A5160" s="2" t="s">
        <v>773</v>
      </c>
      <c r="B5160" s="2" t="s">
        <v>1199</v>
      </c>
      <c r="C5160" s="5" t="s">
        <v>1061</v>
      </c>
      <c r="D5160" s="2" t="s">
        <v>6142</v>
      </c>
    </row>
    <row r="5161" spans="1:4" ht="13.05" customHeight="1" x14ac:dyDescent="0.3">
      <c r="A5161" s="2" t="s">
        <v>773</v>
      </c>
      <c r="B5161" s="2" t="s">
        <v>1199</v>
      </c>
      <c r="C5161" s="5" t="s">
        <v>1063</v>
      </c>
      <c r="D5161" s="2" t="s">
        <v>6143</v>
      </c>
    </row>
    <row r="5162" spans="1:4" ht="13.05" customHeight="1" x14ac:dyDescent="0.3">
      <c r="A5162" s="2" t="s">
        <v>773</v>
      </c>
      <c r="B5162" s="2" t="s">
        <v>1199</v>
      </c>
      <c r="C5162" s="5" t="s">
        <v>1065</v>
      </c>
      <c r="D5162" s="2" t="s">
        <v>6144</v>
      </c>
    </row>
    <row r="5163" spans="1:4" ht="13.05" customHeight="1" x14ac:dyDescent="0.3">
      <c r="A5163" s="2" t="s">
        <v>773</v>
      </c>
      <c r="B5163" s="2" t="s">
        <v>1199</v>
      </c>
      <c r="C5163" s="5" t="s">
        <v>1067</v>
      </c>
      <c r="D5163" s="2" t="s">
        <v>6124</v>
      </c>
    </row>
    <row r="5164" spans="1:4" ht="13.05" customHeight="1" x14ac:dyDescent="0.3">
      <c r="A5164" s="2" t="s">
        <v>773</v>
      </c>
      <c r="B5164" s="2" t="s">
        <v>1199</v>
      </c>
      <c r="C5164" s="5" t="s">
        <v>1069</v>
      </c>
      <c r="D5164" s="2" t="s">
        <v>6145</v>
      </c>
    </row>
    <row r="5165" spans="1:4" ht="13.05" customHeight="1" x14ac:dyDescent="0.3">
      <c r="A5165" s="2" t="s">
        <v>773</v>
      </c>
      <c r="B5165" s="2" t="s">
        <v>1199</v>
      </c>
      <c r="C5165" s="5" t="s">
        <v>1071</v>
      </c>
      <c r="D5165" s="2" t="s">
        <v>6126</v>
      </c>
    </row>
    <row r="5166" spans="1:4" ht="13.05" customHeight="1" x14ac:dyDescent="0.3">
      <c r="A5166" s="2" t="s">
        <v>773</v>
      </c>
      <c r="B5166" s="2" t="s">
        <v>1199</v>
      </c>
      <c r="C5166" s="5" t="s">
        <v>1073</v>
      </c>
      <c r="D5166" s="2" t="s">
        <v>6127</v>
      </c>
    </row>
    <row r="5167" spans="1:4" ht="13.05" customHeight="1" x14ac:dyDescent="0.3">
      <c r="A5167" s="2" t="s">
        <v>773</v>
      </c>
      <c r="B5167" s="2" t="s">
        <v>1199</v>
      </c>
      <c r="C5167" s="5" t="s">
        <v>1075</v>
      </c>
      <c r="D5167" s="2" t="s">
        <v>6128</v>
      </c>
    </row>
    <row r="5168" spans="1:4" ht="13.05" customHeight="1" x14ac:dyDescent="0.3">
      <c r="A5168" s="2" t="s">
        <v>773</v>
      </c>
      <c r="B5168" s="2" t="s">
        <v>1199</v>
      </c>
      <c r="C5168" s="5" t="s">
        <v>1077</v>
      </c>
      <c r="D5168" s="2" t="s">
        <v>6129</v>
      </c>
    </row>
    <row r="5169" spans="1:4" ht="13.05" customHeight="1" x14ac:dyDescent="0.3">
      <c r="A5169" s="2" t="s">
        <v>773</v>
      </c>
      <c r="B5169" s="2" t="s">
        <v>1199</v>
      </c>
      <c r="C5169" s="5" t="s">
        <v>1079</v>
      </c>
      <c r="D5169" s="2" t="s">
        <v>6130</v>
      </c>
    </row>
    <row r="5170" spans="1:4" ht="13.05" customHeight="1" x14ac:dyDescent="0.3">
      <c r="A5170" s="2" t="s">
        <v>773</v>
      </c>
      <c r="B5170" s="2" t="s">
        <v>1199</v>
      </c>
      <c r="C5170" s="5" t="s">
        <v>1081</v>
      </c>
      <c r="D5170" s="2" t="s">
        <v>6131</v>
      </c>
    </row>
    <row r="5171" spans="1:4" ht="13.05" customHeight="1" x14ac:dyDescent="0.3">
      <c r="A5171" s="2" t="s">
        <v>773</v>
      </c>
      <c r="B5171" s="2" t="s">
        <v>1199</v>
      </c>
      <c r="C5171" s="5" t="s">
        <v>1222</v>
      </c>
      <c r="D5171" s="2" t="s">
        <v>6132</v>
      </c>
    </row>
    <row r="5172" spans="1:4" ht="13.05" customHeight="1" x14ac:dyDescent="0.3">
      <c r="A5172" s="2" t="s">
        <v>773</v>
      </c>
      <c r="B5172" s="2" t="s">
        <v>1199</v>
      </c>
      <c r="C5172" s="5" t="s">
        <v>1052</v>
      </c>
      <c r="D5172" s="2" t="s">
        <v>1053</v>
      </c>
    </row>
    <row r="5173" spans="1:4" ht="13.05" customHeight="1" x14ac:dyDescent="0.3">
      <c r="A5173" s="2" t="s">
        <v>775</v>
      </c>
      <c r="B5173" s="2" t="s">
        <v>1199</v>
      </c>
      <c r="C5173" s="5" t="s">
        <v>1044</v>
      </c>
      <c r="D5173" s="2" t="s">
        <v>1045</v>
      </c>
    </row>
    <row r="5174" spans="1:4" ht="13.05" customHeight="1" x14ac:dyDescent="0.3">
      <c r="A5174" s="2" t="s">
        <v>775</v>
      </c>
      <c r="B5174" s="2" t="s">
        <v>1199</v>
      </c>
      <c r="C5174" s="5" t="s">
        <v>1015</v>
      </c>
      <c r="D5174" s="2" t="s">
        <v>1016</v>
      </c>
    </row>
    <row r="5175" spans="1:4" ht="13.05" customHeight="1" x14ac:dyDescent="0.3">
      <c r="A5175" s="2" t="s">
        <v>775</v>
      </c>
      <c r="B5175" s="2" t="s">
        <v>1199</v>
      </c>
      <c r="C5175" s="5" t="s">
        <v>1017</v>
      </c>
      <c r="D5175" s="2" t="s">
        <v>1018</v>
      </c>
    </row>
    <row r="5176" spans="1:4" ht="13.05" customHeight="1" x14ac:dyDescent="0.3">
      <c r="A5176" s="2" t="s">
        <v>775</v>
      </c>
      <c r="B5176" s="2" t="s">
        <v>1199</v>
      </c>
      <c r="C5176" s="5" t="s">
        <v>1019</v>
      </c>
      <c r="D5176" s="2" t="s">
        <v>1020</v>
      </c>
    </row>
    <row r="5177" spans="1:4" ht="13.05" customHeight="1" x14ac:dyDescent="0.3">
      <c r="A5177" s="2" t="s">
        <v>775</v>
      </c>
      <c r="B5177" s="2" t="s">
        <v>1199</v>
      </c>
      <c r="C5177" s="5" t="s">
        <v>1021</v>
      </c>
      <c r="D5177" s="2" t="s">
        <v>890</v>
      </c>
    </row>
    <row r="5178" spans="1:4" ht="13.05" customHeight="1" x14ac:dyDescent="0.3">
      <c r="A5178" s="2" t="s">
        <v>775</v>
      </c>
      <c r="B5178" s="2" t="s">
        <v>1199</v>
      </c>
      <c r="C5178" s="5" t="s">
        <v>1023</v>
      </c>
      <c r="D5178" s="2" t="s">
        <v>6137</v>
      </c>
    </row>
    <row r="5179" spans="1:4" ht="13.05" customHeight="1" x14ac:dyDescent="0.3">
      <c r="A5179" s="2" t="s">
        <v>775</v>
      </c>
      <c r="B5179" s="2" t="s">
        <v>1199</v>
      </c>
      <c r="C5179" s="5" t="s">
        <v>1025</v>
      </c>
      <c r="D5179" s="2" t="s">
        <v>6157</v>
      </c>
    </row>
    <row r="5180" spans="1:4" ht="13.05" customHeight="1" x14ac:dyDescent="0.3">
      <c r="A5180" s="2" t="s">
        <v>775</v>
      </c>
      <c r="B5180" s="2" t="s">
        <v>1199</v>
      </c>
      <c r="C5180" s="5" t="s">
        <v>1027</v>
      </c>
      <c r="D5180" s="2" t="s">
        <v>6117</v>
      </c>
    </row>
    <row r="5181" spans="1:4" ht="13.05" customHeight="1" x14ac:dyDescent="0.3">
      <c r="A5181" s="2" t="s">
        <v>775</v>
      </c>
      <c r="B5181" s="2" t="s">
        <v>1199</v>
      </c>
      <c r="C5181" s="5" t="s">
        <v>1029</v>
      </c>
      <c r="D5181" s="2" t="s">
        <v>6138</v>
      </c>
    </row>
    <row r="5182" spans="1:4" ht="13.05" customHeight="1" x14ac:dyDescent="0.3">
      <c r="A5182" s="2" t="s">
        <v>775</v>
      </c>
      <c r="B5182" s="2" t="s">
        <v>1199</v>
      </c>
      <c r="C5182" s="5" t="s">
        <v>1031</v>
      </c>
      <c r="D5182" s="2" t="s">
        <v>6139</v>
      </c>
    </row>
    <row r="5183" spans="1:4" ht="13.05" customHeight="1" x14ac:dyDescent="0.3">
      <c r="A5183" s="2" t="s">
        <v>775</v>
      </c>
      <c r="B5183" s="2" t="s">
        <v>1199</v>
      </c>
      <c r="C5183" s="5" t="s">
        <v>1040</v>
      </c>
      <c r="D5183" s="2" t="s">
        <v>6140</v>
      </c>
    </row>
    <row r="5184" spans="1:4" ht="13.05" customHeight="1" x14ac:dyDescent="0.3">
      <c r="A5184" s="2" t="s">
        <v>775</v>
      </c>
      <c r="B5184" s="2" t="s">
        <v>1199</v>
      </c>
      <c r="C5184" s="5" t="s">
        <v>1042</v>
      </c>
      <c r="D5184" s="2" t="s">
        <v>6141</v>
      </c>
    </row>
    <row r="5185" spans="1:4" ht="13.05" customHeight="1" x14ac:dyDescent="0.3">
      <c r="A5185" s="2" t="s">
        <v>775</v>
      </c>
      <c r="B5185" s="2" t="s">
        <v>1199</v>
      </c>
      <c r="C5185" s="5" t="s">
        <v>1061</v>
      </c>
      <c r="D5185" s="2" t="s">
        <v>6142</v>
      </c>
    </row>
    <row r="5186" spans="1:4" ht="13.05" customHeight="1" x14ac:dyDescent="0.3">
      <c r="A5186" s="2" t="s">
        <v>775</v>
      </c>
      <c r="B5186" s="2" t="s">
        <v>1199</v>
      </c>
      <c r="C5186" s="5" t="s">
        <v>1063</v>
      </c>
      <c r="D5186" s="2" t="s">
        <v>6143</v>
      </c>
    </row>
    <row r="5187" spans="1:4" ht="13.05" customHeight="1" x14ac:dyDescent="0.3">
      <c r="A5187" s="2" t="s">
        <v>775</v>
      </c>
      <c r="B5187" s="2" t="s">
        <v>1199</v>
      </c>
      <c r="C5187" s="5" t="s">
        <v>1065</v>
      </c>
      <c r="D5187" s="2" t="s">
        <v>6144</v>
      </c>
    </row>
    <row r="5188" spans="1:4" ht="13.05" customHeight="1" x14ac:dyDescent="0.3">
      <c r="A5188" s="2" t="s">
        <v>775</v>
      </c>
      <c r="B5188" s="2" t="s">
        <v>1199</v>
      </c>
      <c r="C5188" s="5" t="s">
        <v>1067</v>
      </c>
      <c r="D5188" s="2" t="s">
        <v>6124</v>
      </c>
    </row>
    <row r="5189" spans="1:4" ht="13.05" customHeight="1" x14ac:dyDescent="0.3">
      <c r="A5189" s="2" t="s">
        <v>775</v>
      </c>
      <c r="B5189" s="2" t="s">
        <v>1199</v>
      </c>
      <c r="C5189" s="5" t="s">
        <v>1069</v>
      </c>
      <c r="D5189" s="2" t="s">
        <v>6145</v>
      </c>
    </row>
    <row r="5190" spans="1:4" ht="13.05" customHeight="1" x14ac:dyDescent="0.3">
      <c r="A5190" s="2" t="s">
        <v>775</v>
      </c>
      <c r="B5190" s="2" t="s">
        <v>1199</v>
      </c>
      <c r="C5190" s="5" t="s">
        <v>1071</v>
      </c>
      <c r="D5190" s="2" t="s">
        <v>6126</v>
      </c>
    </row>
    <row r="5191" spans="1:4" ht="13.05" customHeight="1" x14ac:dyDescent="0.3">
      <c r="A5191" s="2" t="s">
        <v>775</v>
      </c>
      <c r="B5191" s="2" t="s">
        <v>1199</v>
      </c>
      <c r="C5191" s="5" t="s">
        <v>1073</v>
      </c>
      <c r="D5191" s="2" t="s">
        <v>6127</v>
      </c>
    </row>
    <row r="5192" spans="1:4" ht="13.05" customHeight="1" x14ac:dyDescent="0.3">
      <c r="A5192" s="2" t="s">
        <v>775</v>
      </c>
      <c r="B5192" s="2" t="s">
        <v>1199</v>
      </c>
      <c r="C5192" s="5" t="s">
        <v>1075</v>
      </c>
      <c r="D5192" s="2" t="s">
        <v>6128</v>
      </c>
    </row>
    <row r="5193" spans="1:4" ht="13.05" customHeight="1" x14ac:dyDescent="0.3">
      <c r="A5193" s="2" t="s">
        <v>775</v>
      </c>
      <c r="B5193" s="2" t="s">
        <v>1199</v>
      </c>
      <c r="C5193" s="5" t="s">
        <v>1077</v>
      </c>
      <c r="D5193" s="2" t="s">
        <v>6129</v>
      </c>
    </row>
    <row r="5194" spans="1:4" ht="13.05" customHeight="1" x14ac:dyDescent="0.3">
      <c r="A5194" s="2" t="s">
        <v>775</v>
      </c>
      <c r="B5194" s="2" t="s">
        <v>1199</v>
      </c>
      <c r="C5194" s="5" t="s">
        <v>1079</v>
      </c>
      <c r="D5194" s="2" t="s">
        <v>6130</v>
      </c>
    </row>
    <row r="5195" spans="1:4" ht="13.05" customHeight="1" x14ac:dyDescent="0.3">
      <c r="A5195" s="2" t="s">
        <v>775</v>
      </c>
      <c r="B5195" s="2" t="s">
        <v>1199</v>
      </c>
      <c r="C5195" s="5" t="s">
        <v>1081</v>
      </c>
      <c r="D5195" s="2" t="s">
        <v>6131</v>
      </c>
    </row>
    <row r="5196" spans="1:4" ht="13.05" customHeight="1" x14ac:dyDescent="0.3">
      <c r="A5196" s="2" t="s">
        <v>775</v>
      </c>
      <c r="B5196" s="2" t="s">
        <v>1199</v>
      </c>
      <c r="C5196" s="5" t="s">
        <v>1222</v>
      </c>
      <c r="D5196" s="2" t="s">
        <v>6132</v>
      </c>
    </row>
    <row r="5197" spans="1:4" ht="13.05" customHeight="1" x14ac:dyDescent="0.3">
      <c r="A5197" s="2" t="s">
        <v>775</v>
      </c>
      <c r="B5197" s="2" t="s">
        <v>1199</v>
      </c>
      <c r="C5197" s="5" t="s">
        <v>1052</v>
      </c>
      <c r="D5197" s="2" t="s">
        <v>1053</v>
      </c>
    </row>
    <row r="5198" spans="1:4" ht="13.05" customHeight="1" x14ac:dyDescent="0.3">
      <c r="A5198" s="2" t="s">
        <v>777</v>
      </c>
      <c r="B5198" s="2" t="s">
        <v>1199</v>
      </c>
      <c r="C5198" s="5" t="s">
        <v>1044</v>
      </c>
      <c r="D5198" s="2" t="s">
        <v>1045</v>
      </c>
    </row>
    <row r="5199" spans="1:4" ht="13.05" customHeight="1" x14ac:dyDescent="0.3">
      <c r="A5199" s="2" t="s">
        <v>777</v>
      </c>
      <c r="B5199" s="2" t="s">
        <v>1199</v>
      </c>
      <c r="C5199" s="5" t="s">
        <v>1015</v>
      </c>
      <c r="D5199" s="2" t="s">
        <v>1016</v>
      </c>
    </row>
    <row r="5200" spans="1:4" ht="13.05" customHeight="1" x14ac:dyDescent="0.3">
      <c r="A5200" s="2" t="s">
        <v>777</v>
      </c>
      <c r="B5200" s="2" t="s">
        <v>1199</v>
      </c>
      <c r="C5200" s="5" t="s">
        <v>1017</v>
      </c>
      <c r="D5200" s="2" t="s">
        <v>1018</v>
      </c>
    </row>
    <row r="5201" spans="1:4" ht="13.05" customHeight="1" x14ac:dyDescent="0.3">
      <c r="A5201" s="2" t="s">
        <v>777</v>
      </c>
      <c r="B5201" s="2" t="s">
        <v>1199</v>
      </c>
      <c r="C5201" s="5" t="s">
        <v>1019</v>
      </c>
      <c r="D5201" s="2" t="s">
        <v>1020</v>
      </c>
    </row>
    <row r="5202" spans="1:4" ht="13.05" customHeight="1" x14ac:dyDescent="0.3">
      <c r="A5202" s="2" t="s">
        <v>777</v>
      </c>
      <c r="B5202" s="2" t="s">
        <v>1199</v>
      </c>
      <c r="C5202" s="5" t="s">
        <v>1021</v>
      </c>
      <c r="D5202" s="2" t="s">
        <v>890</v>
      </c>
    </row>
    <row r="5203" spans="1:4" ht="13.05" customHeight="1" x14ac:dyDescent="0.3">
      <c r="A5203" s="2" t="s">
        <v>777</v>
      </c>
      <c r="B5203" s="2" t="s">
        <v>1199</v>
      </c>
      <c r="C5203" s="5" t="s">
        <v>1023</v>
      </c>
      <c r="D5203" s="2" t="s">
        <v>6137</v>
      </c>
    </row>
    <row r="5204" spans="1:4" ht="13.05" customHeight="1" x14ac:dyDescent="0.3">
      <c r="A5204" s="2" t="s">
        <v>777</v>
      </c>
      <c r="B5204" s="2" t="s">
        <v>1199</v>
      </c>
      <c r="C5204" s="5" t="s">
        <v>1025</v>
      </c>
      <c r="D5204" s="2" t="s">
        <v>6157</v>
      </c>
    </row>
    <row r="5205" spans="1:4" ht="13.05" customHeight="1" x14ac:dyDescent="0.3">
      <c r="A5205" s="2" t="s">
        <v>777</v>
      </c>
      <c r="B5205" s="2" t="s">
        <v>1199</v>
      </c>
      <c r="C5205" s="5" t="s">
        <v>1027</v>
      </c>
      <c r="D5205" s="2" t="s">
        <v>6117</v>
      </c>
    </row>
    <row r="5206" spans="1:4" ht="13.05" customHeight="1" x14ac:dyDescent="0.3">
      <c r="A5206" s="2" t="s">
        <v>777</v>
      </c>
      <c r="B5206" s="2" t="s">
        <v>1199</v>
      </c>
      <c r="C5206" s="5" t="s">
        <v>1029</v>
      </c>
      <c r="D5206" s="2" t="s">
        <v>6138</v>
      </c>
    </row>
    <row r="5207" spans="1:4" ht="13.05" customHeight="1" x14ac:dyDescent="0.3">
      <c r="A5207" s="2" t="s">
        <v>777</v>
      </c>
      <c r="B5207" s="2" t="s">
        <v>1199</v>
      </c>
      <c r="C5207" s="5" t="s">
        <v>1031</v>
      </c>
      <c r="D5207" s="2" t="s">
        <v>6139</v>
      </c>
    </row>
    <row r="5208" spans="1:4" ht="13.05" customHeight="1" x14ac:dyDescent="0.3">
      <c r="A5208" s="2" t="s">
        <v>777</v>
      </c>
      <c r="B5208" s="2" t="s">
        <v>1199</v>
      </c>
      <c r="C5208" s="5" t="s">
        <v>1040</v>
      </c>
      <c r="D5208" s="2" t="s">
        <v>6140</v>
      </c>
    </row>
    <row r="5209" spans="1:4" ht="13.05" customHeight="1" x14ac:dyDescent="0.3">
      <c r="A5209" s="2" t="s">
        <v>777</v>
      </c>
      <c r="B5209" s="2" t="s">
        <v>1199</v>
      </c>
      <c r="C5209" s="5" t="s">
        <v>1042</v>
      </c>
      <c r="D5209" s="2" t="s">
        <v>6141</v>
      </c>
    </row>
    <row r="5210" spans="1:4" ht="13.05" customHeight="1" x14ac:dyDescent="0.3">
      <c r="A5210" s="2" t="s">
        <v>777</v>
      </c>
      <c r="B5210" s="2" t="s">
        <v>1199</v>
      </c>
      <c r="C5210" s="5" t="s">
        <v>1061</v>
      </c>
      <c r="D5210" s="2" t="s">
        <v>6142</v>
      </c>
    </row>
    <row r="5211" spans="1:4" ht="13.05" customHeight="1" x14ac:dyDescent="0.3">
      <c r="A5211" s="2" t="s">
        <v>777</v>
      </c>
      <c r="B5211" s="2" t="s">
        <v>1199</v>
      </c>
      <c r="C5211" s="5" t="s">
        <v>1063</v>
      </c>
      <c r="D5211" s="2" t="s">
        <v>6143</v>
      </c>
    </row>
    <row r="5212" spans="1:4" ht="13.05" customHeight="1" x14ac:dyDescent="0.3">
      <c r="A5212" s="2" t="s">
        <v>777</v>
      </c>
      <c r="B5212" s="2" t="s">
        <v>1199</v>
      </c>
      <c r="C5212" s="5" t="s">
        <v>1065</v>
      </c>
      <c r="D5212" s="2" t="s">
        <v>6144</v>
      </c>
    </row>
    <row r="5213" spans="1:4" ht="13.05" customHeight="1" x14ac:dyDescent="0.3">
      <c r="A5213" s="2" t="s">
        <v>777</v>
      </c>
      <c r="B5213" s="2" t="s">
        <v>1199</v>
      </c>
      <c r="C5213" s="5" t="s">
        <v>1067</v>
      </c>
      <c r="D5213" s="2" t="s">
        <v>6124</v>
      </c>
    </row>
    <row r="5214" spans="1:4" ht="13.05" customHeight="1" x14ac:dyDescent="0.3">
      <c r="A5214" s="2" t="s">
        <v>777</v>
      </c>
      <c r="B5214" s="2" t="s">
        <v>1199</v>
      </c>
      <c r="C5214" s="5" t="s">
        <v>1069</v>
      </c>
      <c r="D5214" s="2" t="s">
        <v>6145</v>
      </c>
    </row>
    <row r="5215" spans="1:4" ht="13.05" customHeight="1" x14ac:dyDescent="0.3">
      <c r="A5215" s="2" t="s">
        <v>777</v>
      </c>
      <c r="B5215" s="2" t="s">
        <v>1199</v>
      </c>
      <c r="C5215" s="5" t="s">
        <v>1071</v>
      </c>
      <c r="D5215" s="2" t="s">
        <v>6126</v>
      </c>
    </row>
    <row r="5216" spans="1:4" ht="13.05" customHeight="1" x14ac:dyDescent="0.3">
      <c r="A5216" s="2" t="s">
        <v>777</v>
      </c>
      <c r="B5216" s="2" t="s">
        <v>1199</v>
      </c>
      <c r="C5216" s="5" t="s">
        <v>1073</v>
      </c>
      <c r="D5216" s="2" t="s">
        <v>6127</v>
      </c>
    </row>
    <row r="5217" spans="1:4" ht="13.05" customHeight="1" x14ac:dyDescent="0.3">
      <c r="A5217" s="2" t="s">
        <v>777</v>
      </c>
      <c r="B5217" s="2" t="s">
        <v>1199</v>
      </c>
      <c r="C5217" s="5" t="s">
        <v>1075</v>
      </c>
      <c r="D5217" s="2" t="s">
        <v>6128</v>
      </c>
    </row>
    <row r="5218" spans="1:4" ht="13.05" customHeight="1" x14ac:dyDescent="0.3">
      <c r="A5218" s="2" t="s">
        <v>777</v>
      </c>
      <c r="B5218" s="2" t="s">
        <v>1199</v>
      </c>
      <c r="C5218" s="5" t="s">
        <v>1077</v>
      </c>
      <c r="D5218" s="2" t="s">
        <v>6129</v>
      </c>
    </row>
    <row r="5219" spans="1:4" ht="13.05" customHeight="1" x14ac:dyDescent="0.3">
      <c r="A5219" s="2" t="s">
        <v>777</v>
      </c>
      <c r="B5219" s="2" t="s">
        <v>1199</v>
      </c>
      <c r="C5219" s="5" t="s">
        <v>1079</v>
      </c>
      <c r="D5219" s="2" t="s">
        <v>6130</v>
      </c>
    </row>
    <row r="5220" spans="1:4" ht="13.05" customHeight="1" x14ac:dyDescent="0.3">
      <c r="A5220" s="2" t="s">
        <v>777</v>
      </c>
      <c r="B5220" s="2" t="s">
        <v>1199</v>
      </c>
      <c r="C5220" s="5" t="s">
        <v>1081</v>
      </c>
      <c r="D5220" s="2" t="s">
        <v>6131</v>
      </c>
    </row>
    <row r="5221" spans="1:4" ht="13.05" customHeight="1" x14ac:dyDescent="0.3">
      <c r="A5221" s="2" t="s">
        <v>777</v>
      </c>
      <c r="B5221" s="2" t="s">
        <v>1199</v>
      </c>
      <c r="C5221" s="5" t="s">
        <v>1222</v>
      </c>
      <c r="D5221" s="2" t="s">
        <v>6132</v>
      </c>
    </row>
    <row r="5222" spans="1:4" ht="13.05" customHeight="1" x14ac:dyDescent="0.3">
      <c r="A5222" s="2" t="s">
        <v>777</v>
      </c>
      <c r="B5222" s="2" t="s">
        <v>1199</v>
      </c>
      <c r="C5222" s="5" t="s">
        <v>1052</v>
      </c>
      <c r="D5222" s="2" t="s">
        <v>1053</v>
      </c>
    </row>
    <row r="5223" spans="1:4" ht="13.05" customHeight="1" x14ac:dyDescent="0.3">
      <c r="A5223" s="2" t="s">
        <v>779</v>
      </c>
      <c r="B5223" s="2" t="s">
        <v>1199</v>
      </c>
      <c r="C5223" s="5" t="s">
        <v>1044</v>
      </c>
      <c r="D5223" s="2" t="s">
        <v>1045</v>
      </c>
    </row>
    <row r="5224" spans="1:4" ht="13.05" customHeight="1" x14ac:dyDescent="0.3">
      <c r="A5224" s="2" t="s">
        <v>779</v>
      </c>
      <c r="B5224" s="2" t="s">
        <v>1199</v>
      </c>
      <c r="C5224" s="5" t="s">
        <v>1015</v>
      </c>
      <c r="D5224" s="2" t="s">
        <v>1016</v>
      </c>
    </row>
    <row r="5225" spans="1:4" ht="13.05" customHeight="1" x14ac:dyDescent="0.3">
      <c r="A5225" s="2" t="s">
        <v>779</v>
      </c>
      <c r="B5225" s="2" t="s">
        <v>1199</v>
      </c>
      <c r="C5225" s="5" t="s">
        <v>1017</v>
      </c>
      <c r="D5225" s="2" t="s">
        <v>1018</v>
      </c>
    </row>
    <row r="5226" spans="1:4" ht="13.05" customHeight="1" x14ac:dyDescent="0.3">
      <c r="A5226" s="2" t="s">
        <v>779</v>
      </c>
      <c r="B5226" s="2" t="s">
        <v>1199</v>
      </c>
      <c r="C5226" s="5" t="s">
        <v>1019</v>
      </c>
      <c r="D5226" s="2" t="s">
        <v>1020</v>
      </c>
    </row>
    <row r="5227" spans="1:4" ht="13.05" customHeight="1" x14ac:dyDescent="0.3">
      <c r="A5227" s="2" t="s">
        <v>779</v>
      </c>
      <c r="B5227" s="2" t="s">
        <v>1199</v>
      </c>
      <c r="C5227" s="5" t="s">
        <v>1021</v>
      </c>
      <c r="D5227" s="2" t="s">
        <v>890</v>
      </c>
    </row>
    <row r="5228" spans="1:4" ht="13.05" customHeight="1" x14ac:dyDescent="0.3">
      <c r="A5228" s="2" t="s">
        <v>779</v>
      </c>
      <c r="B5228" s="2" t="s">
        <v>1199</v>
      </c>
      <c r="C5228" s="5" t="s">
        <v>1023</v>
      </c>
      <c r="D5228" s="2" t="s">
        <v>6137</v>
      </c>
    </row>
    <row r="5229" spans="1:4" ht="13.05" customHeight="1" x14ac:dyDescent="0.3">
      <c r="A5229" s="2" t="s">
        <v>779</v>
      </c>
      <c r="B5229" s="2" t="s">
        <v>1199</v>
      </c>
      <c r="C5229" s="5" t="s">
        <v>1025</v>
      </c>
      <c r="D5229" s="2" t="s">
        <v>6157</v>
      </c>
    </row>
    <row r="5230" spans="1:4" ht="13.05" customHeight="1" x14ac:dyDescent="0.3">
      <c r="A5230" s="2" t="s">
        <v>779</v>
      </c>
      <c r="B5230" s="2" t="s">
        <v>1199</v>
      </c>
      <c r="C5230" s="5" t="s">
        <v>1027</v>
      </c>
      <c r="D5230" s="2" t="s">
        <v>6117</v>
      </c>
    </row>
    <row r="5231" spans="1:4" ht="13.05" customHeight="1" x14ac:dyDescent="0.3">
      <c r="A5231" s="2" t="s">
        <v>779</v>
      </c>
      <c r="B5231" s="2" t="s">
        <v>1199</v>
      </c>
      <c r="C5231" s="5" t="s">
        <v>1029</v>
      </c>
      <c r="D5231" s="2" t="s">
        <v>6138</v>
      </c>
    </row>
    <row r="5232" spans="1:4" ht="13.05" customHeight="1" x14ac:dyDescent="0.3">
      <c r="A5232" s="2" t="s">
        <v>779</v>
      </c>
      <c r="B5232" s="2" t="s">
        <v>1199</v>
      </c>
      <c r="C5232" s="5" t="s">
        <v>1031</v>
      </c>
      <c r="D5232" s="2" t="s">
        <v>6139</v>
      </c>
    </row>
    <row r="5233" spans="1:4" ht="13.05" customHeight="1" x14ac:dyDescent="0.3">
      <c r="A5233" s="2" t="s">
        <v>779</v>
      </c>
      <c r="B5233" s="2" t="s">
        <v>1199</v>
      </c>
      <c r="C5233" s="5" t="s">
        <v>1040</v>
      </c>
      <c r="D5233" s="2" t="s">
        <v>6140</v>
      </c>
    </row>
    <row r="5234" spans="1:4" ht="13.05" customHeight="1" x14ac:dyDescent="0.3">
      <c r="A5234" s="2" t="s">
        <v>779</v>
      </c>
      <c r="B5234" s="2" t="s">
        <v>1199</v>
      </c>
      <c r="C5234" s="5" t="s">
        <v>1042</v>
      </c>
      <c r="D5234" s="2" t="s">
        <v>6141</v>
      </c>
    </row>
    <row r="5235" spans="1:4" ht="13.05" customHeight="1" x14ac:dyDescent="0.3">
      <c r="A5235" s="2" t="s">
        <v>779</v>
      </c>
      <c r="B5235" s="2" t="s">
        <v>1199</v>
      </c>
      <c r="C5235" s="5" t="s">
        <v>1061</v>
      </c>
      <c r="D5235" s="2" t="s">
        <v>6142</v>
      </c>
    </row>
    <row r="5236" spans="1:4" ht="13.05" customHeight="1" x14ac:dyDescent="0.3">
      <c r="A5236" s="2" t="s">
        <v>779</v>
      </c>
      <c r="B5236" s="2" t="s">
        <v>1199</v>
      </c>
      <c r="C5236" s="5" t="s">
        <v>1063</v>
      </c>
      <c r="D5236" s="2" t="s">
        <v>6143</v>
      </c>
    </row>
    <row r="5237" spans="1:4" ht="13.05" customHeight="1" x14ac:dyDescent="0.3">
      <c r="A5237" s="2" t="s">
        <v>779</v>
      </c>
      <c r="B5237" s="2" t="s">
        <v>1199</v>
      </c>
      <c r="C5237" s="5" t="s">
        <v>1065</v>
      </c>
      <c r="D5237" s="2" t="s">
        <v>6144</v>
      </c>
    </row>
    <row r="5238" spans="1:4" ht="13.05" customHeight="1" x14ac:dyDescent="0.3">
      <c r="A5238" s="2" t="s">
        <v>779</v>
      </c>
      <c r="B5238" s="2" t="s">
        <v>1199</v>
      </c>
      <c r="C5238" s="5" t="s">
        <v>1067</v>
      </c>
      <c r="D5238" s="2" t="s">
        <v>6124</v>
      </c>
    </row>
    <row r="5239" spans="1:4" ht="13.05" customHeight="1" x14ac:dyDescent="0.3">
      <c r="A5239" s="2" t="s">
        <v>779</v>
      </c>
      <c r="B5239" s="2" t="s">
        <v>1199</v>
      </c>
      <c r="C5239" s="5" t="s">
        <v>1069</v>
      </c>
      <c r="D5239" s="2" t="s">
        <v>6145</v>
      </c>
    </row>
    <row r="5240" spans="1:4" ht="13.05" customHeight="1" x14ac:dyDescent="0.3">
      <c r="A5240" s="2" t="s">
        <v>779</v>
      </c>
      <c r="B5240" s="2" t="s">
        <v>1199</v>
      </c>
      <c r="C5240" s="5" t="s">
        <v>1071</v>
      </c>
      <c r="D5240" s="2" t="s">
        <v>6126</v>
      </c>
    </row>
    <row r="5241" spans="1:4" ht="13.05" customHeight="1" x14ac:dyDescent="0.3">
      <c r="A5241" s="2" t="s">
        <v>779</v>
      </c>
      <c r="B5241" s="2" t="s">
        <v>1199</v>
      </c>
      <c r="C5241" s="5" t="s">
        <v>1073</v>
      </c>
      <c r="D5241" s="2" t="s">
        <v>6127</v>
      </c>
    </row>
    <row r="5242" spans="1:4" ht="13.05" customHeight="1" x14ac:dyDescent="0.3">
      <c r="A5242" s="2" t="s">
        <v>779</v>
      </c>
      <c r="B5242" s="2" t="s">
        <v>1199</v>
      </c>
      <c r="C5242" s="5" t="s">
        <v>1075</v>
      </c>
      <c r="D5242" s="2" t="s">
        <v>6128</v>
      </c>
    </row>
    <row r="5243" spans="1:4" ht="13.05" customHeight="1" x14ac:dyDescent="0.3">
      <c r="A5243" s="2" t="s">
        <v>779</v>
      </c>
      <c r="B5243" s="2" t="s">
        <v>1199</v>
      </c>
      <c r="C5243" s="5" t="s">
        <v>1077</v>
      </c>
      <c r="D5243" s="2" t="s">
        <v>6129</v>
      </c>
    </row>
    <row r="5244" spans="1:4" ht="13.05" customHeight="1" x14ac:dyDescent="0.3">
      <c r="A5244" s="2" t="s">
        <v>779</v>
      </c>
      <c r="B5244" s="2" t="s">
        <v>1199</v>
      </c>
      <c r="C5244" s="5" t="s">
        <v>1079</v>
      </c>
      <c r="D5244" s="2" t="s">
        <v>6130</v>
      </c>
    </row>
    <row r="5245" spans="1:4" ht="13.05" customHeight="1" x14ac:dyDescent="0.3">
      <c r="A5245" s="2" t="s">
        <v>779</v>
      </c>
      <c r="B5245" s="2" t="s">
        <v>1199</v>
      </c>
      <c r="C5245" s="5" t="s">
        <v>1081</v>
      </c>
      <c r="D5245" s="2" t="s">
        <v>6131</v>
      </c>
    </row>
    <row r="5246" spans="1:4" ht="13.05" customHeight="1" x14ac:dyDescent="0.3">
      <c r="A5246" s="2" t="s">
        <v>779</v>
      </c>
      <c r="B5246" s="2" t="s">
        <v>1199</v>
      </c>
      <c r="C5246" s="5" t="s">
        <v>1222</v>
      </c>
      <c r="D5246" s="2" t="s">
        <v>6132</v>
      </c>
    </row>
    <row r="5247" spans="1:4" ht="13.05" customHeight="1" x14ac:dyDescent="0.3">
      <c r="A5247" s="2" t="s">
        <v>779</v>
      </c>
      <c r="B5247" s="2" t="s">
        <v>1199</v>
      </c>
      <c r="C5247" s="5" t="s">
        <v>1052</v>
      </c>
      <c r="D5247" s="2" t="s">
        <v>1053</v>
      </c>
    </row>
    <row r="5248" spans="1:4" ht="13.05" customHeight="1" x14ac:dyDescent="0.3">
      <c r="A5248" s="2" t="s">
        <v>781</v>
      </c>
      <c r="B5248" s="2" t="s">
        <v>1199</v>
      </c>
      <c r="C5248" s="5" t="s">
        <v>1044</v>
      </c>
      <c r="D5248" s="2" t="s">
        <v>1045</v>
      </c>
    </row>
    <row r="5249" spans="1:4" ht="13.05" customHeight="1" x14ac:dyDescent="0.3">
      <c r="A5249" s="2" t="s">
        <v>781</v>
      </c>
      <c r="B5249" s="2" t="s">
        <v>1199</v>
      </c>
      <c r="C5249" s="5" t="s">
        <v>1015</v>
      </c>
      <c r="D5249" s="2" t="s">
        <v>1016</v>
      </c>
    </row>
    <row r="5250" spans="1:4" ht="13.05" customHeight="1" x14ac:dyDescent="0.3">
      <c r="A5250" s="2" t="s">
        <v>781</v>
      </c>
      <c r="B5250" s="2" t="s">
        <v>1199</v>
      </c>
      <c r="C5250" s="5" t="s">
        <v>1017</v>
      </c>
      <c r="D5250" s="2" t="s">
        <v>1018</v>
      </c>
    </row>
    <row r="5251" spans="1:4" ht="13.05" customHeight="1" x14ac:dyDescent="0.3">
      <c r="A5251" s="2" t="s">
        <v>781</v>
      </c>
      <c r="B5251" s="2" t="s">
        <v>1199</v>
      </c>
      <c r="C5251" s="5" t="s">
        <v>1019</v>
      </c>
      <c r="D5251" s="2" t="s">
        <v>1020</v>
      </c>
    </row>
    <row r="5252" spans="1:4" ht="13.05" customHeight="1" x14ac:dyDescent="0.3">
      <c r="A5252" s="2" t="s">
        <v>781</v>
      </c>
      <c r="B5252" s="2" t="s">
        <v>1199</v>
      </c>
      <c r="C5252" s="5" t="s">
        <v>1021</v>
      </c>
      <c r="D5252" s="2" t="s">
        <v>890</v>
      </c>
    </row>
    <row r="5253" spans="1:4" ht="13.05" customHeight="1" x14ac:dyDescent="0.3">
      <c r="A5253" s="2" t="s">
        <v>781</v>
      </c>
      <c r="B5253" s="2" t="s">
        <v>1199</v>
      </c>
      <c r="C5253" s="5" t="s">
        <v>1023</v>
      </c>
      <c r="D5253" s="2" t="s">
        <v>6137</v>
      </c>
    </row>
    <row r="5254" spans="1:4" ht="13.05" customHeight="1" x14ac:dyDescent="0.3">
      <c r="A5254" s="2" t="s">
        <v>781</v>
      </c>
      <c r="B5254" s="2" t="s">
        <v>1199</v>
      </c>
      <c r="C5254" s="5" t="s">
        <v>1025</v>
      </c>
      <c r="D5254" s="2" t="s">
        <v>6157</v>
      </c>
    </row>
    <row r="5255" spans="1:4" ht="13.05" customHeight="1" x14ac:dyDescent="0.3">
      <c r="A5255" s="2" t="s">
        <v>781</v>
      </c>
      <c r="B5255" s="2" t="s">
        <v>1199</v>
      </c>
      <c r="C5255" s="5" t="s">
        <v>1027</v>
      </c>
      <c r="D5255" s="2" t="s">
        <v>6117</v>
      </c>
    </row>
    <row r="5256" spans="1:4" ht="13.05" customHeight="1" x14ac:dyDescent="0.3">
      <c r="A5256" s="2" t="s">
        <v>781</v>
      </c>
      <c r="B5256" s="2" t="s">
        <v>1199</v>
      </c>
      <c r="C5256" s="5" t="s">
        <v>1029</v>
      </c>
      <c r="D5256" s="2" t="s">
        <v>6138</v>
      </c>
    </row>
    <row r="5257" spans="1:4" ht="13.05" customHeight="1" x14ac:dyDescent="0.3">
      <c r="A5257" s="2" t="s">
        <v>781</v>
      </c>
      <c r="B5257" s="2" t="s">
        <v>1199</v>
      </c>
      <c r="C5257" s="5" t="s">
        <v>1031</v>
      </c>
      <c r="D5257" s="2" t="s">
        <v>6139</v>
      </c>
    </row>
    <row r="5258" spans="1:4" ht="13.05" customHeight="1" x14ac:dyDescent="0.3">
      <c r="A5258" s="2" t="s">
        <v>781</v>
      </c>
      <c r="B5258" s="2" t="s">
        <v>1199</v>
      </c>
      <c r="C5258" s="5" t="s">
        <v>1040</v>
      </c>
      <c r="D5258" s="2" t="s">
        <v>6140</v>
      </c>
    </row>
    <row r="5259" spans="1:4" ht="13.05" customHeight="1" x14ac:dyDescent="0.3">
      <c r="A5259" s="2" t="s">
        <v>781</v>
      </c>
      <c r="B5259" s="2" t="s">
        <v>1199</v>
      </c>
      <c r="C5259" s="5" t="s">
        <v>1042</v>
      </c>
      <c r="D5259" s="2" t="s">
        <v>6141</v>
      </c>
    </row>
    <row r="5260" spans="1:4" ht="13.05" customHeight="1" x14ac:dyDescent="0.3">
      <c r="A5260" s="2" t="s">
        <v>781</v>
      </c>
      <c r="B5260" s="2" t="s">
        <v>1199</v>
      </c>
      <c r="C5260" s="5" t="s">
        <v>1061</v>
      </c>
      <c r="D5260" s="2" t="s">
        <v>6142</v>
      </c>
    </row>
    <row r="5261" spans="1:4" ht="13.05" customHeight="1" x14ac:dyDescent="0.3">
      <c r="A5261" s="2" t="s">
        <v>781</v>
      </c>
      <c r="B5261" s="2" t="s">
        <v>1199</v>
      </c>
      <c r="C5261" s="5" t="s">
        <v>1063</v>
      </c>
      <c r="D5261" s="2" t="s">
        <v>6143</v>
      </c>
    </row>
    <row r="5262" spans="1:4" ht="13.05" customHeight="1" x14ac:dyDescent="0.3">
      <c r="A5262" s="2" t="s">
        <v>781</v>
      </c>
      <c r="B5262" s="2" t="s">
        <v>1199</v>
      </c>
      <c r="C5262" s="5" t="s">
        <v>1065</v>
      </c>
      <c r="D5262" s="2" t="s">
        <v>6144</v>
      </c>
    </row>
    <row r="5263" spans="1:4" ht="13.05" customHeight="1" x14ac:dyDescent="0.3">
      <c r="A5263" s="2" t="s">
        <v>781</v>
      </c>
      <c r="B5263" s="2" t="s">
        <v>1199</v>
      </c>
      <c r="C5263" s="5" t="s">
        <v>1067</v>
      </c>
      <c r="D5263" s="2" t="s">
        <v>6124</v>
      </c>
    </row>
    <row r="5264" spans="1:4" ht="13.05" customHeight="1" x14ac:dyDescent="0.3">
      <c r="A5264" s="2" t="s">
        <v>781</v>
      </c>
      <c r="B5264" s="2" t="s">
        <v>1199</v>
      </c>
      <c r="C5264" s="5" t="s">
        <v>1069</v>
      </c>
      <c r="D5264" s="2" t="s">
        <v>6145</v>
      </c>
    </row>
    <row r="5265" spans="1:4" ht="13.05" customHeight="1" x14ac:dyDescent="0.3">
      <c r="A5265" s="2" t="s">
        <v>781</v>
      </c>
      <c r="B5265" s="2" t="s">
        <v>1199</v>
      </c>
      <c r="C5265" s="5" t="s">
        <v>1071</v>
      </c>
      <c r="D5265" s="2" t="s">
        <v>6126</v>
      </c>
    </row>
    <row r="5266" spans="1:4" ht="13.05" customHeight="1" x14ac:dyDescent="0.3">
      <c r="A5266" s="2" t="s">
        <v>781</v>
      </c>
      <c r="B5266" s="2" t="s">
        <v>1199</v>
      </c>
      <c r="C5266" s="5" t="s">
        <v>1073</v>
      </c>
      <c r="D5266" s="2" t="s">
        <v>6127</v>
      </c>
    </row>
    <row r="5267" spans="1:4" ht="13.05" customHeight="1" x14ac:dyDescent="0.3">
      <c r="A5267" s="2" t="s">
        <v>781</v>
      </c>
      <c r="B5267" s="2" t="s">
        <v>1199</v>
      </c>
      <c r="C5267" s="5" t="s">
        <v>1075</v>
      </c>
      <c r="D5267" s="2" t="s">
        <v>6128</v>
      </c>
    </row>
    <row r="5268" spans="1:4" ht="13.05" customHeight="1" x14ac:dyDescent="0.3">
      <c r="A5268" s="2" t="s">
        <v>781</v>
      </c>
      <c r="B5268" s="2" t="s">
        <v>1199</v>
      </c>
      <c r="C5268" s="5" t="s">
        <v>1077</v>
      </c>
      <c r="D5268" s="2" t="s">
        <v>6129</v>
      </c>
    </row>
    <row r="5269" spans="1:4" ht="13.05" customHeight="1" x14ac:dyDescent="0.3">
      <c r="A5269" s="2" t="s">
        <v>781</v>
      </c>
      <c r="B5269" s="2" t="s">
        <v>1199</v>
      </c>
      <c r="C5269" s="5" t="s">
        <v>1079</v>
      </c>
      <c r="D5269" s="2" t="s">
        <v>6130</v>
      </c>
    </row>
    <row r="5270" spans="1:4" ht="13.05" customHeight="1" x14ac:dyDescent="0.3">
      <c r="A5270" s="2" t="s">
        <v>781</v>
      </c>
      <c r="B5270" s="2" t="s">
        <v>1199</v>
      </c>
      <c r="C5270" s="5" t="s">
        <v>1081</v>
      </c>
      <c r="D5270" s="2" t="s">
        <v>6131</v>
      </c>
    </row>
    <row r="5271" spans="1:4" ht="13.05" customHeight="1" x14ac:dyDescent="0.3">
      <c r="A5271" s="2" t="s">
        <v>781</v>
      </c>
      <c r="B5271" s="2" t="s">
        <v>1199</v>
      </c>
      <c r="C5271" s="5" t="s">
        <v>1222</v>
      </c>
      <c r="D5271" s="2" t="s">
        <v>6132</v>
      </c>
    </row>
    <row r="5272" spans="1:4" ht="13.05" customHeight="1" x14ac:dyDescent="0.3">
      <c r="A5272" s="2" t="s">
        <v>781</v>
      </c>
      <c r="B5272" s="2" t="s">
        <v>1199</v>
      </c>
      <c r="C5272" s="5" t="s">
        <v>1052</v>
      </c>
      <c r="D5272" s="2" t="s">
        <v>1053</v>
      </c>
    </row>
    <row r="5273" spans="1:4" ht="13.05" customHeight="1" x14ac:dyDescent="0.3">
      <c r="A5273" s="2" t="s">
        <v>783</v>
      </c>
      <c r="B5273" s="2" t="s">
        <v>1199</v>
      </c>
      <c r="C5273" s="5" t="s">
        <v>1044</v>
      </c>
      <c r="D5273" s="2" t="s">
        <v>1045</v>
      </c>
    </row>
    <row r="5274" spans="1:4" ht="13.05" customHeight="1" x14ac:dyDescent="0.3">
      <c r="A5274" s="2" t="s">
        <v>783</v>
      </c>
      <c r="B5274" s="2" t="s">
        <v>1199</v>
      </c>
      <c r="C5274" s="5" t="s">
        <v>1015</v>
      </c>
      <c r="D5274" s="2" t="s">
        <v>1016</v>
      </c>
    </row>
    <row r="5275" spans="1:4" ht="13.05" customHeight="1" x14ac:dyDescent="0.3">
      <c r="A5275" s="2" t="s">
        <v>783</v>
      </c>
      <c r="B5275" s="2" t="s">
        <v>1199</v>
      </c>
      <c r="C5275" s="5" t="s">
        <v>1017</v>
      </c>
      <c r="D5275" s="2" t="s">
        <v>1018</v>
      </c>
    </row>
    <row r="5276" spans="1:4" ht="13.05" customHeight="1" x14ac:dyDescent="0.3">
      <c r="A5276" s="2" t="s">
        <v>783</v>
      </c>
      <c r="B5276" s="2" t="s">
        <v>1199</v>
      </c>
      <c r="C5276" s="5" t="s">
        <v>1019</v>
      </c>
      <c r="D5276" s="2" t="s">
        <v>1020</v>
      </c>
    </row>
    <row r="5277" spans="1:4" ht="13.05" customHeight="1" x14ac:dyDescent="0.3">
      <c r="A5277" s="2" t="s">
        <v>783</v>
      </c>
      <c r="B5277" s="2" t="s">
        <v>1199</v>
      </c>
      <c r="C5277" s="5" t="s">
        <v>1021</v>
      </c>
      <c r="D5277" s="2" t="s">
        <v>890</v>
      </c>
    </row>
    <row r="5278" spans="1:4" ht="13.05" customHeight="1" x14ac:dyDescent="0.3">
      <c r="A5278" s="2" t="s">
        <v>783</v>
      </c>
      <c r="B5278" s="2" t="s">
        <v>1199</v>
      </c>
      <c r="C5278" s="5" t="s">
        <v>1023</v>
      </c>
      <c r="D5278" s="2" t="s">
        <v>6137</v>
      </c>
    </row>
    <row r="5279" spans="1:4" ht="13.05" customHeight="1" x14ac:dyDescent="0.3">
      <c r="A5279" s="2" t="s">
        <v>783</v>
      </c>
      <c r="B5279" s="2" t="s">
        <v>1199</v>
      </c>
      <c r="C5279" s="5" t="s">
        <v>1025</v>
      </c>
      <c r="D5279" s="2" t="s">
        <v>6157</v>
      </c>
    </row>
    <row r="5280" spans="1:4" ht="13.05" customHeight="1" x14ac:dyDescent="0.3">
      <c r="A5280" s="2" t="s">
        <v>783</v>
      </c>
      <c r="B5280" s="2" t="s">
        <v>1199</v>
      </c>
      <c r="C5280" s="5" t="s">
        <v>1027</v>
      </c>
      <c r="D5280" s="2" t="s">
        <v>6117</v>
      </c>
    </row>
    <row r="5281" spans="1:4" ht="13.05" customHeight="1" x14ac:dyDescent="0.3">
      <c r="A5281" s="2" t="s">
        <v>783</v>
      </c>
      <c r="B5281" s="2" t="s">
        <v>1199</v>
      </c>
      <c r="C5281" s="5" t="s">
        <v>1029</v>
      </c>
      <c r="D5281" s="2" t="s">
        <v>6138</v>
      </c>
    </row>
    <row r="5282" spans="1:4" ht="13.05" customHeight="1" x14ac:dyDescent="0.3">
      <c r="A5282" s="2" t="s">
        <v>783</v>
      </c>
      <c r="B5282" s="2" t="s">
        <v>1199</v>
      </c>
      <c r="C5282" s="5" t="s">
        <v>1031</v>
      </c>
      <c r="D5282" s="2" t="s">
        <v>6139</v>
      </c>
    </row>
    <row r="5283" spans="1:4" ht="13.05" customHeight="1" x14ac:dyDescent="0.3">
      <c r="A5283" s="2" t="s">
        <v>783</v>
      </c>
      <c r="B5283" s="2" t="s">
        <v>1199</v>
      </c>
      <c r="C5283" s="5" t="s">
        <v>1040</v>
      </c>
      <c r="D5283" s="2" t="s">
        <v>6140</v>
      </c>
    </row>
    <row r="5284" spans="1:4" ht="13.05" customHeight="1" x14ac:dyDescent="0.3">
      <c r="A5284" s="2" t="s">
        <v>783</v>
      </c>
      <c r="B5284" s="2" t="s">
        <v>1199</v>
      </c>
      <c r="C5284" s="5" t="s">
        <v>1042</v>
      </c>
      <c r="D5284" s="2" t="s">
        <v>6141</v>
      </c>
    </row>
    <row r="5285" spans="1:4" ht="13.05" customHeight="1" x14ac:dyDescent="0.3">
      <c r="A5285" s="2" t="s">
        <v>783</v>
      </c>
      <c r="B5285" s="2" t="s">
        <v>1199</v>
      </c>
      <c r="C5285" s="5" t="s">
        <v>1061</v>
      </c>
      <c r="D5285" s="2" t="s">
        <v>6142</v>
      </c>
    </row>
    <row r="5286" spans="1:4" ht="13.05" customHeight="1" x14ac:dyDescent="0.3">
      <c r="A5286" s="2" t="s">
        <v>783</v>
      </c>
      <c r="B5286" s="2" t="s">
        <v>1199</v>
      </c>
      <c r="C5286" s="5" t="s">
        <v>1063</v>
      </c>
      <c r="D5286" s="2" t="s">
        <v>6143</v>
      </c>
    </row>
    <row r="5287" spans="1:4" ht="13.05" customHeight="1" x14ac:dyDescent="0.3">
      <c r="A5287" s="2" t="s">
        <v>783</v>
      </c>
      <c r="B5287" s="2" t="s">
        <v>1199</v>
      </c>
      <c r="C5287" s="5" t="s">
        <v>1065</v>
      </c>
      <c r="D5287" s="2" t="s">
        <v>6144</v>
      </c>
    </row>
    <row r="5288" spans="1:4" ht="13.05" customHeight="1" x14ac:dyDescent="0.3">
      <c r="A5288" s="2" t="s">
        <v>783</v>
      </c>
      <c r="B5288" s="2" t="s">
        <v>1199</v>
      </c>
      <c r="C5288" s="5" t="s">
        <v>1067</v>
      </c>
      <c r="D5288" s="2" t="s">
        <v>6124</v>
      </c>
    </row>
    <row r="5289" spans="1:4" ht="13.05" customHeight="1" x14ac:dyDescent="0.3">
      <c r="A5289" s="2" t="s">
        <v>783</v>
      </c>
      <c r="B5289" s="2" t="s">
        <v>1199</v>
      </c>
      <c r="C5289" s="5" t="s">
        <v>1069</v>
      </c>
      <c r="D5289" s="2" t="s">
        <v>6145</v>
      </c>
    </row>
    <row r="5290" spans="1:4" ht="13.05" customHeight="1" x14ac:dyDescent="0.3">
      <c r="A5290" s="2" t="s">
        <v>783</v>
      </c>
      <c r="B5290" s="2" t="s">
        <v>1199</v>
      </c>
      <c r="C5290" s="5" t="s">
        <v>1071</v>
      </c>
      <c r="D5290" s="2" t="s">
        <v>6126</v>
      </c>
    </row>
    <row r="5291" spans="1:4" ht="13.05" customHeight="1" x14ac:dyDescent="0.3">
      <c r="A5291" s="2" t="s">
        <v>783</v>
      </c>
      <c r="B5291" s="2" t="s">
        <v>1199</v>
      </c>
      <c r="C5291" s="5" t="s">
        <v>1073</v>
      </c>
      <c r="D5291" s="2" t="s">
        <v>6127</v>
      </c>
    </row>
    <row r="5292" spans="1:4" ht="13.05" customHeight="1" x14ac:dyDescent="0.3">
      <c r="A5292" s="2" t="s">
        <v>783</v>
      </c>
      <c r="B5292" s="2" t="s">
        <v>1199</v>
      </c>
      <c r="C5292" s="5" t="s">
        <v>1075</v>
      </c>
      <c r="D5292" s="2" t="s">
        <v>6128</v>
      </c>
    </row>
    <row r="5293" spans="1:4" ht="13.05" customHeight="1" x14ac:dyDescent="0.3">
      <c r="A5293" s="2" t="s">
        <v>783</v>
      </c>
      <c r="B5293" s="2" t="s">
        <v>1199</v>
      </c>
      <c r="C5293" s="5" t="s">
        <v>1077</v>
      </c>
      <c r="D5293" s="2" t="s">
        <v>6129</v>
      </c>
    </row>
    <row r="5294" spans="1:4" ht="13.05" customHeight="1" x14ac:dyDescent="0.3">
      <c r="A5294" s="2" t="s">
        <v>783</v>
      </c>
      <c r="B5294" s="2" t="s">
        <v>1199</v>
      </c>
      <c r="C5294" s="5" t="s">
        <v>1079</v>
      </c>
      <c r="D5294" s="2" t="s">
        <v>6130</v>
      </c>
    </row>
    <row r="5295" spans="1:4" ht="13.05" customHeight="1" x14ac:dyDescent="0.3">
      <c r="A5295" s="2" t="s">
        <v>783</v>
      </c>
      <c r="B5295" s="2" t="s">
        <v>1199</v>
      </c>
      <c r="C5295" s="5" t="s">
        <v>1081</v>
      </c>
      <c r="D5295" s="2" t="s">
        <v>6131</v>
      </c>
    </row>
    <row r="5296" spans="1:4" ht="13.05" customHeight="1" x14ac:dyDescent="0.3">
      <c r="A5296" s="2" t="s">
        <v>783</v>
      </c>
      <c r="B5296" s="2" t="s">
        <v>1199</v>
      </c>
      <c r="C5296" s="5" t="s">
        <v>1222</v>
      </c>
      <c r="D5296" s="2" t="s">
        <v>6132</v>
      </c>
    </row>
    <row r="5297" spans="1:4" ht="13.05" customHeight="1" x14ac:dyDescent="0.3">
      <c r="A5297" s="2" t="s">
        <v>783</v>
      </c>
      <c r="B5297" s="2" t="s">
        <v>1199</v>
      </c>
      <c r="C5297" s="5" t="s">
        <v>1052</v>
      </c>
      <c r="D5297" s="2" t="s">
        <v>1053</v>
      </c>
    </row>
    <row r="5298" spans="1:4" ht="13.05" customHeight="1" x14ac:dyDescent="0.3">
      <c r="A5298" s="2" t="s">
        <v>785</v>
      </c>
      <c r="B5298" s="2" t="s">
        <v>1199</v>
      </c>
      <c r="C5298" s="5" t="s">
        <v>1044</v>
      </c>
      <c r="D5298" s="2" t="s">
        <v>1045</v>
      </c>
    </row>
    <row r="5299" spans="1:4" ht="13.05" customHeight="1" x14ac:dyDescent="0.3">
      <c r="A5299" s="2" t="s">
        <v>785</v>
      </c>
      <c r="B5299" s="2" t="s">
        <v>1199</v>
      </c>
      <c r="C5299" s="5" t="s">
        <v>1015</v>
      </c>
      <c r="D5299" s="2" t="s">
        <v>1016</v>
      </c>
    </row>
    <row r="5300" spans="1:4" ht="13.05" customHeight="1" x14ac:dyDescent="0.3">
      <c r="A5300" s="2" t="s">
        <v>785</v>
      </c>
      <c r="B5300" s="2" t="s">
        <v>1199</v>
      </c>
      <c r="C5300" s="5" t="s">
        <v>1017</v>
      </c>
      <c r="D5300" s="2" t="s">
        <v>1018</v>
      </c>
    </row>
    <row r="5301" spans="1:4" ht="13.05" customHeight="1" x14ac:dyDescent="0.3">
      <c r="A5301" s="2" t="s">
        <v>785</v>
      </c>
      <c r="B5301" s="2" t="s">
        <v>1199</v>
      </c>
      <c r="C5301" s="5" t="s">
        <v>1019</v>
      </c>
      <c r="D5301" s="2" t="s">
        <v>1020</v>
      </c>
    </row>
    <row r="5302" spans="1:4" ht="13.05" customHeight="1" x14ac:dyDescent="0.3">
      <c r="A5302" s="2" t="s">
        <v>785</v>
      </c>
      <c r="B5302" s="2" t="s">
        <v>1199</v>
      </c>
      <c r="C5302" s="5" t="s">
        <v>1021</v>
      </c>
      <c r="D5302" s="2" t="s">
        <v>890</v>
      </c>
    </row>
    <row r="5303" spans="1:4" ht="13.05" customHeight="1" x14ac:dyDescent="0.3">
      <c r="A5303" s="2" t="s">
        <v>785</v>
      </c>
      <c r="B5303" s="2" t="s">
        <v>1199</v>
      </c>
      <c r="C5303" s="5" t="s">
        <v>1023</v>
      </c>
      <c r="D5303" s="2" t="s">
        <v>6137</v>
      </c>
    </row>
    <row r="5304" spans="1:4" ht="13.05" customHeight="1" x14ac:dyDescent="0.3">
      <c r="A5304" s="2" t="s">
        <v>785</v>
      </c>
      <c r="B5304" s="2" t="s">
        <v>1199</v>
      </c>
      <c r="C5304" s="5" t="s">
        <v>1025</v>
      </c>
      <c r="D5304" s="2" t="s">
        <v>6157</v>
      </c>
    </row>
    <row r="5305" spans="1:4" ht="13.05" customHeight="1" x14ac:dyDescent="0.3">
      <c r="A5305" s="2" t="s">
        <v>785</v>
      </c>
      <c r="B5305" s="2" t="s">
        <v>1199</v>
      </c>
      <c r="C5305" s="5" t="s">
        <v>1027</v>
      </c>
      <c r="D5305" s="2" t="s">
        <v>6117</v>
      </c>
    </row>
    <row r="5306" spans="1:4" ht="13.05" customHeight="1" x14ac:dyDescent="0.3">
      <c r="A5306" s="2" t="s">
        <v>785</v>
      </c>
      <c r="B5306" s="2" t="s">
        <v>1199</v>
      </c>
      <c r="C5306" s="5" t="s">
        <v>1029</v>
      </c>
      <c r="D5306" s="2" t="s">
        <v>6138</v>
      </c>
    </row>
    <row r="5307" spans="1:4" ht="13.05" customHeight="1" x14ac:dyDescent="0.3">
      <c r="A5307" s="2" t="s">
        <v>785</v>
      </c>
      <c r="B5307" s="2" t="s">
        <v>1199</v>
      </c>
      <c r="C5307" s="5" t="s">
        <v>1031</v>
      </c>
      <c r="D5307" s="2" t="s">
        <v>6139</v>
      </c>
    </row>
    <row r="5308" spans="1:4" ht="13.05" customHeight="1" x14ac:dyDescent="0.3">
      <c r="A5308" s="2" t="s">
        <v>785</v>
      </c>
      <c r="B5308" s="2" t="s">
        <v>1199</v>
      </c>
      <c r="C5308" s="5" t="s">
        <v>1040</v>
      </c>
      <c r="D5308" s="2" t="s">
        <v>6140</v>
      </c>
    </row>
    <row r="5309" spans="1:4" ht="13.05" customHeight="1" x14ac:dyDescent="0.3">
      <c r="A5309" s="2" t="s">
        <v>785</v>
      </c>
      <c r="B5309" s="2" t="s">
        <v>1199</v>
      </c>
      <c r="C5309" s="5" t="s">
        <v>1042</v>
      </c>
      <c r="D5309" s="2" t="s">
        <v>6141</v>
      </c>
    </row>
    <row r="5310" spans="1:4" ht="13.05" customHeight="1" x14ac:dyDescent="0.3">
      <c r="A5310" s="2" t="s">
        <v>785</v>
      </c>
      <c r="B5310" s="2" t="s">
        <v>1199</v>
      </c>
      <c r="C5310" s="5" t="s">
        <v>1061</v>
      </c>
      <c r="D5310" s="2" t="s">
        <v>6142</v>
      </c>
    </row>
    <row r="5311" spans="1:4" ht="13.05" customHeight="1" x14ac:dyDescent="0.3">
      <c r="A5311" s="2" t="s">
        <v>785</v>
      </c>
      <c r="B5311" s="2" t="s">
        <v>1199</v>
      </c>
      <c r="C5311" s="5" t="s">
        <v>1063</v>
      </c>
      <c r="D5311" s="2" t="s">
        <v>6143</v>
      </c>
    </row>
    <row r="5312" spans="1:4" ht="13.05" customHeight="1" x14ac:dyDescent="0.3">
      <c r="A5312" s="2" t="s">
        <v>785</v>
      </c>
      <c r="B5312" s="2" t="s">
        <v>1199</v>
      </c>
      <c r="C5312" s="5" t="s">
        <v>1065</v>
      </c>
      <c r="D5312" s="2" t="s">
        <v>6144</v>
      </c>
    </row>
    <row r="5313" spans="1:4" ht="13.05" customHeight="1" x14ac:dyDescent="0.3">
      <c r="A5313" s="2" t="s">
        <v>785</v>
      </c>
      <c r="B5313" s="2" t="s">
        <v>1199</v>
      </c>
      <c r="C5313" s="5" t="s">
        <v>1067</v>
      </c>
      <c r="D5313" s="2" t="s">
        <v>6124</v>
      </c>
    </row>
    <row r="5314" spans="1:4" ht="13.05" customHeight="1" x14ac:dyDescent="0.3">
      <c r="A5314" s="2" t="s">
        <v>785</v>
      </c>
      <c r="B5314" s="2" t="s">
        <v>1199</v>
      </c>
      <c r="C5314" s="5" t="s">
        <v>1069</v>
      </c>
      <c r="D5314" s="2" t="s">
        <v>6145</v>
      </c>
    </row>
    <row r="5315" spans="1:4" ht="13.05" customHeight="1" x14ac:dyDescent="0.3">
      <c r="A5315" s="2" t="s">
        <v>785</v>
      </c>
      <c r="B5315" s="2" t="s">
        <v>1199</v>
      </c>
      <c r="C5315" s="5" t="s">
        <v>1071</v>
      </c>
      <c r="D5315" s="2" t="s">
        <v>6126</v>
      </c>
    </row>
    <row r="5316" spans="1:4" ht="13.05" customHeight="1" x14ac:dyDescent="0.3">
      <c r="A5316" s="2" t="s">
        <v>785</v>
      </c>
      <c r="B5316" s="2" t="s">
        <v>1199</v>
      </c>
      <c r="C5316" s="5" t="s">
        <v>1073</v>
      </c>
      <c r="D5316" s="2" t="s">
        <v>6127</v>
      </c>
    </row>
    <row r="5317" spans="1:4" ht="13.05" customHeight="1" x14ac:dyDescent="0.3">
      <c r="A5317" s="2" t="s">
        <v>785</v>
      </c>
      <c r="B5317" s="2" t="s">
        <v>1199</v>
      </c>
      <c r="C5317" s="5" t="s">
        <v>1075</v>
      </c>
      <c r="D5317" s="2" t="s">
        <v>6128</v>
      </c>
    </row>
    <row r="5318" spans="1:4" ht="13.05" customHeight="1" x14ac:dyDescent="0.3">
      <c r="A5318" s="2" t="s">
        <v>785</v>
      </c>
      <c r="B5318" s="2" t="s">
        <v>1199</v>
      </c>
      <c r="C5318" s="5" t="s">
        <v>1077</v>
      </c>
      <c r="D5318" s="2" t="s">
        <v>6129</v>
      </c>
    </row>
    <row r="5319" spans="1:4" ht="13.05" customHeight="1" x14ac:dyDescent="0.3">
      <c r="A5319" s="2" t="s">
        <v>785</v>
      </c>
      <c r="B5319" s="2" t="s">
        <v>1199</v>
      </c>
      <c r="C5319" s="5" t="s">
        <v>1079</v>
      </c>
      <c r="D5319" s="2" t="s">
        <v>6130</v>
      </c>
    </row>
    <row r="5320" spans="1:4" ht="13.05" customHeight="1" x14ac:dyDescent="0.3">
      <c r="A5320" s="2" t="s">
        <v>785</v>
      </c>
      <c r="B5320" s="2" t="s">
        <v>1199</v>
      </c>
      <c r="C5320" s="5" t="s">
        <v>1081</v>
      </c>
      <c r="D5320" s="2" t="s">
        <v>6131</v>
      </c>
    </row>
    <row r="5321" spans="1:4" ht="13.05" customHeight="1" x14ac:dyDescent="0.3">
      <c r="A5321" s="2" t="s">
        <v>785</v>
      </c>
      <c r="B5321" s="2" t="s">
        <v>1199</v>
      </c>
      <c r="C5321" s="5" t="s">
        <v>1222</v>
      </c>
      <c r="D5321" s="2" t="s">
        <v>6132</v>
      </c>
    </row>
    <row r="5322" spans="1:4" ht="13.05" customHeight="1" x14ac:dyDescent="0.3">
      <c r="A5322" s="2" t="s">
        <v>785</v>
      </c>
      <c r="B5322" s="2" t="s">
        <v>1199</v>
      </c>
      <c r="C5322" s="5" t="s">
        <v>1052</v>
      </c>
      <c r="D5322" s="2" t="s">
        <v>1053</v>
      </c>
    </row>
    <row r="5323" spans="1:4" ht="13.05" customHeight="1" x14ac:dyDescent="0.3">
      <c r="A5323" s="2" t="s">
        <v>787</v>
      </c>
      <c r="B5323" s="2" t="s">
        <v>1199</v>
      </c>
      <c r="C5323" s="5" t="s">
        <v>1044</v>
      </c>
      <c r="D5323" s="2" t="s">
        <v>1045</v>
      </c>
    </row>
    <row r="5324" spans="1:4" ht="13.05" customHeight="1" x14ac:dyDescent="0.3">
      <c r="A5324" s="2" t="s">
        <v>787</v>
      </c>
      <c r="B5324" s="2" t="s">
        <v>1199</v>
      </c>
      <c r="C5324" s="5" t="s">
        <v>1015</v>
      </c>
      <c r="D5324" s="2" t="s">
        <v>1016</v>
      </c>
    </row>
    <row r="5325" spans="1:4" ht="13.05" customHeight="1" x14ac:dyDescent="0.3">
      <c r="A5325" s="2" t="s">
        <v>787</v>
      </c>
      <c r="B5325" s="2" t="s">
        <v>1199</v>
      </c>
      <c r="C5325" s="5" t="s">
        <v>1017</v>
      </c>
      <c r="D5325" s="2" t="s">
        <v>1018</v>
      </c>
    </row>
    <row r="5326" spans="1:4" ht="13.05" customHeight="1" x14ac:dyDescent="0.3">
      <c r="A5326" s="2" t="s">
        <v>787</v>
      </c>
      <c r="B5326" s="2" t="s">
        <v>1199</v>
      </c>
      <c r="C5326" s="5" t="s">
        <v>1019</v>
      </c>
      <c r="D5326" s="2" t="s">
        <v>1020</v>
      </c>
    </row>
    <row r="5327" spans="1:4" ht="13.05" customHeight="1" x14ac:dyDescent="0.3">
      <c r="A5327" s="2" t="s">
        <v>787</v>
      </c>
      <c r="B5327" s="2" t="s">
        <v>1199</v>
      </c>
      <c r="C5327" s="5" t="s">
        <v>1021</v>
      </c>
      <c r="D5327" s="2" t="s">
        <v>890</v>
      </c>
    </row>
    <row r="5328" spans="1:4" ht="13.05" customHeight="1" x14ac:dyDescent="0.3">
      <c r="A5328" s="2" t="s">
        <v>787</v>
      </c>
      <c r="B5328" s="2" t="s">
        <v>1199</v>
      </c>
      <c r="C5328" s="5" t="s">
        <v>1023</v>
      </c>
      <c r="D5328" s="2" t="s">
        <v>6137</v>
      </c>
    </row>
    <row r="5329" spans="1:4" ht="13.05" customHeight="1" x14ac:dyDescent="0.3">
      <c r="A5329" s="2" t="s">
        <v>787</v>
      </c>
      <c r="B5329" s="2" t="s">
        <v>1199</v>
      </c>
      <c r="C5329" s="5" t="s">
        <v>1025</v>
      </c>
      <c r="D5329" s="2" t="s">
        <v>6157</v>
      </c>
    </row>
    <row r="5330" spans="1:4" ht="13.05" customHeight="1" x14ac:dyDescent="0.3">
      <c r="A5330" s="2" t="s">
        <v>787</v>
      </c>
      <c r="B5330" s="2" t="s">
        <v>1199</v>
      </c>
      <c r="C5330" s="5" t="s">
        <v>1027</v>
      </c>
      <c r="D5330" s="2" t="s">
        <v>6117</v>
      </c>
    </row>
    <row r="5331" spans="1:4" ht="13.05" customHeight="1" x14ac:dyDescent="0.3">
      <c r="A5331" s="2" t="s">
        <v>787</v>
      </c>
      <c r="B5331" s="2" t="s">
        <v>1199</v>
      </c>
      <c r="C5331" s="5" t="s">
        <v>1029</v>
      </c>
      <c r="D5331" s="2" t="s">
        <v>6138</v>
      </c>
    </row>
    <row r="5332" spans="1:4" ht="13.05" customHeight="1" x14ac:dyDescent="0.3">
      <c r="A5332" s="2" t="s">
        <v>787</v>
      </c>
      <c r="B5332" s="2" t="s">
        <v>1199</v>
      </c>
      <c r="C5332" s="5" t="s">
        <v>1031</v>
      </c>
      <c r="D5332" s="2" t="s">
        <v>6139</v>
      </c>
    </row>
    <row r="5333" spans="1:4" ht="13.05" customHeight="1" x14ac:dyDescent="0.3">
      <c r="A5333" s="2" t="s">
        <v>787</v>
      </c>
      <c r="B5333" s="2" t="s">
        <v>1199</v>
      </c>
      <c r="C5333" s="5" t="s">
        <v>1040</v>
      </c>
      <c r="D5333" s="2" t="s">
        <v>6140</v>
      </c>
    </row>
    <row r="5334" spans="1:4" ht="13.05" customHeight="1" x14ac:dyDescent="0.3">
      <c r="A5334" s="2" t="s">
        <v>787</v>
      </c>
      <c r="B5334" s="2" t="s">
        <v>1199</v>
      </c>
      <c r="C5334" s="5" t="s">
        <v>1042</v>
      </c>
      <c r="D5334" s="2" t="s">
        <v>6141</v>
      </c>
    </row>
    <row r="5335" spans="1:4" ht="13.05" customHeight="1" x14ac:dyDescent="0.3">
      <c r="A5335" s="2" t="s">
        <v>787</v>
      </c>
      <c r="B5335" s="2" t="s">
        <v>1199</v>
      </c>
      <c r="C5335" s="5" t="s">
        <v>1061</v>
      </c>
      <c r="D5335" s="2" t="s">
        <v>6142</v>
      </c>
    </row>
    <row r="5336" spans="1:4" ht="13.05" customHeight="1" x14ac:dyDescent="0.3">
      <c r="A5336" s="2" t="s">
        <v>787</v>
      </c>
      <c r="B5336" s="2" t="s">
        <v>1199</v>
      </c>
      <c r="C5336" s="5" t="s">
        <v>1063</v>
      </c>
      <c r="D5336" s="2" t="s">
        <v>6143</v>
      </c>
    </row>
    <row r="5337" spans="1:4" ht="13.05" customHeight="1" x14ac:dyDescent="0.3">
      <c r="A5337" s="2" t="s">
        <v>787</v>
      </c>
      <c r="B5337" s="2" t="s">
        <v>1199</v>
      </c>
      <c r="C5337" s="5" t="s">
        <v>1065</v>
      </c>
      <c r="D5337" s="2" t="s">
        <v>6144</v>
      </c>
    </row>
    <row r="5338" spans="1:4" ht="13.05" customHeight="1" x14ac:dyDescent="0.3">
      <c r="A5338" s="2" t="s">
        <v>787</v>
      </c>
      <c r="B5338" s="2" t="s">
        <v>1199</v>
      </c>
      <c r="C5338" s="5" t="s">
        <v>1067</v>
      </c>
      <c r="D5338" s="2" t="s">
        <v>6124</v>
      </c>
    </row>
    <row r="5339" spans="1:4" ht="13.05" customHeight="1" x14ac:dyDescent="0.3">
      <c r="A5339" s="2" t="s">
        <v>787</v>
      </c>
      <c r="B5339" s="2" t="s">
        <v>1199</v>
      </c>
      <c r="C5339" s="5" t="s">
        <v>1069</v>
      </c>
      <c r="D5339" s="2" t="s">
        <v>6145</v>
      </c>
    </row>
    <row r="5340" spans="1:4" ht="13.05" customHeight="1" x14ac:dyDescent="0.3">
      <c r="A5340" s="2" t="s">
        <v>787</v>
      </c>
      <c r="B5340" s="2" t="s">
        <v>1199</v>
      </c>
      <c r="C5340" s="5" t="s">
        <v>1071</v>
      </c>
      <c r="D5340" s="2" t="s">
        <v>6126</v>
      </c>
    </row>
    <row r="5341" spans="1:4" ht="13.05" customHeight="1" x14ac:dyDescent="0.3">
      <c r="A5341" s="2" t="s">
        <v>787</v>
      </c>
      <c r="B5341" s="2" t="s">
        <v>1199</v>
      </c>
      <c r="C5341" s="5" t="s">
        <v>1073</v>
      </c>
      <c r="D5341" s="2" t="s">
        <v>6127</v>
      </c>
    </row>
    <row r="5342" spans="1:4" ht="13.05" customHeight="1" x14ac:dyDescent="0.3">
      <c r="A5342" s="2" t="s">
        <v>787</v>
      </c>
      <c r="B5342" s="2" t="s">
        <v>1199</v>
      </c>
      <c r="C5342" s="5" t="s">
        <v>1075</v>
      </c>
      <c r="D5342" s="2" t="s">
        <v>6128</v>
      </c>
    </row>
    <row r="5343" spans="1:4" ht="13.05" customHeight="1" x14ac:dyDescent="0.3">
      <c r="A5343" s="2" t="s">
        <v>787</v>
      </c>
      <c r="B5343" s="2" t="s">
        <v>1199</v>
      </c>
      <c r="C5343" s="5" t="s">
        <v>1077</v>
      </c>
      <c r="D5343" s="2" t="s">
        <v>6129</v>
      </c>
    </row>
    <row r="5344" spans="1:4" ht="13.05" customHeight="1" x14ac:dyDescent="0.3">
      <c r="A5344" s="2" t="s">
        <v>787</v>
      </c>
      <c r="B5344" s="2" t="s">
        <v>1199</v>
      </c>
      <c r="C5344" s="5" t="s">
        <v>1079</v>
      </c>
      <c r="D5344" s="2" t="s">
        <v>6130</v>
      </c>
    </row>
    <row r="5345" spans="1:4" ht="13.05" customHeight="1" x14ac:dyDescent="0.3">
      <c r="A5345" s="2" t="s">
        <v>787</v>
      </c>
      <c r="B5345" s="2" t="s">
        <v>1199</v>
      </c>
      <c r="C5345" s="5" t="s">
        <v>1081</v>
      </c>
      <c r="D5345" s="2" t="s">
        <v>6131</v>
      </c>
    </row>
    <row r="5346" spans="1:4" ht="13.05" customHeight="1" x14ac:dyDescent="0.3">
      <c r="A5346" s="2" t="s">
        <v>787</v>
      </c>
      <c r="B5346" s="2" t="s">
        <v>1199</v>
      </c>
      <c r="C5346" s="5" t="s">
        <v>1222</v>
      </c>
      <c r="D5346" s="2" t="s">
        <v>6132</v>
      </c>
    </row>
    <row r="5347" spans="1:4" ht="13.05" customHeight="1" x14ac:dyDescent="0.3">
      <c r="A5347" s="2" t="s">
        <v>787</v>
      </c>
      <c r="B5347" s="2" t="s">
        <v>1199</v>
      </c>
      <c r="C5347" s="5" t="s">
        <v>1052</v>
      </c>
      <c r="D5347" s="2" t="s">
        <v>1053</v>
      </c>
    </row>
    <row r="5348" spans="1:4" ht="13.05" customHeight="1" x14ac:dyDescent="0.3">
      <c r="A5348" s="2" t="s">
        <v>789</v>
      </c>
      <c r="B5348" s="2" t="s">
        <v>1199</v>
      </c>
      <c r="C5348" s="5" t="s">
        <v>1044</v>
      </c>
      <c r="D5348" s="2" t="s">
        <v>1045</v>
      </c>
    </row>
    <row r="5349" spans="1:4" ht="13.05" customHeight="1" x14ac:dyDescent="0.3">
      <c r="A5349" s="2" t="s">
        <v>789</v>
      </c>
      <c r="B5349" s="2" t="s">
        <v>1199</v>
      </c>
      <c r="C5349" s="5" t="s">
        <v>1015</v>
      </c>
      <c r="D5349" s="2" t="s">
        <v>1016</v>
      </c>
    </row>
    <row r="5350" spans="1:4" ht="13.05" customHeight="1" x14ac:dyDescent="0.3">
      <c r="A5350" s="2" t="s">
        <v>789</v>
      </c>
      <c r="B5350" s="2" t="s">
        <v>1199</v>
      </c>
      <c r="C5350" s="5" t="s">
        <v>1017</v>
      </c>
      <c r="D5350" s="2" t="s">
        <v>1018</v>
      </c>
    </row>
    <row r="5351" spans="1:4" ht="13.05" customHeight="1" x14ac:dyDescent="0.3">
      <c r="A5351" s="2" t="s">
        <v>789</v>
      </c>
      <c r="B5351" s="2" t="s">
        <v>1199</v>
      </c>
      <c r="C5351" s="5" t="s">
        <v>1019</v>
      </c>
      <c r="D5351" s="2" t="s">
        <v>1020</v>
      </c>
    </row>
    <row r="5352" spans="1:4" ht="13.05" customHeight="1" x14ac:dyDescent="0.3">
      <c r="A5352" s="2" t="s">
        <v>789</v>
      </c>
      <c r="B5352" s="2" t="s">
        <v>1199</v>
      </c>
      <c r="C5352" s="5" t="s">
        <v>1021</v>
      </c>
      <c r="D5352" s="2" t="s">
        <v>890</v>
      </c>
    </row>
    <row r="5353" spans="1:4" ht="13.05" customHeight="1" x14ac:dyDescent="0.3">
      <c r="A5353" s="2" t="s">
        <v>789</v>
      </c>
      <c r="B5353" s="2" t="s">
        <v>1199</v>
      </c>
      <c r="C5353" s="5" t="s">
        <v>1023</v>
      </c>
      <c r="D5353" s="2" t="s">
        <v>6137</v>
      </c>
    </row>
    <row r="5354" spans="1:4" ht="13.05" customHeight="1" x14ac:dyDescent="0.3">
      <c r="A5354" s="2" t="s">
        <v>789</v>
      </c>
      <c r="B5354" s="2" t="s">
        <v>1199</v>
      </c>
      <c r="C5354" s="5" t="s">
        <v>1025</v>
      </c>
      <c r="D5354" s="2" t="s">
        <v>6157</v>
      </c>
    </row>
    <row r="5355" spans="1:4" ht="13.05" customHeight="1" x14ac:dyDescent="0.3">
      <c r="A5355" s="2" t="s">
        <v>789</v>
      </c>
      <c r="B5355" s="2" t="s">
        <v>1199</v>
      </c>
      <c r="C5355" s="5" t="s">
        <v>1027</v>
      </c>
      <c r="D5355" s="2" t="s">
        <v>6117</v>
      </c>
    </row>
    <row r="5356" spans="1:4" ht="13.05" customHeight="1" x14ac:dyDescent="0.3">
      <c r="A5356" s="2" t="s">
        <v>789</v>
      </c>
      <c r="B5356" s="2" t="s">
        <v>1199</v>
      </c>
      <c r="C5356" s="5" t="s">
        <v>1029</v>
      </c>
      <c r="D5356" s="2" t="s">
        <v>6138</v>
      </c>
    </row>
    <row r="5357" spans="1:4" ht="13.05" customHeight="1" x14ac:dyDescent="0.3">
      <c r="A5357" s="2" t="s">
        <v>789</v>
      </c>
      <c r="B5357" s="2" t="s">
        <v>1199</v>
      </c>
      <c r="C5357" s="5" t="s">
        <v>1031</v>
      </c>
      <c r="D5357" s="2" t="s">
        <v>6139</v>
      </c>
    </row>
    <row r="5358" spans="1:4" ht="13.05" customHeight="1" x14ac:dyDescent="0.3">
      <c r="A5358" s="2" t="s">
        <v>789</v>
      </c>
      <c r="B5358" s="2" t="s">
        <v>1199</v>
      </c>
      <c r="C5358" s="5" t="s">
        <v>1040</v>
      </c>
      <c r="D5358" s="2" t="s">
        <v>6140</v>
      </c>
    </row>
    <row r="5359" spans="1:4" ht="13.05" customHeight="1" x14ac:dyDescent="0.3">
      <c r="A5359" s="2" t="s">
        <v>789</v>
      </c>
      <c r="B5359" s="2" t="s">
        <v>1199</v>
      </c>
      <c r="C5359" s="5" t="s">
        <v>1042</v>
      </c>
      <c r="D5359" s="2" t="s">
        <v>6141</v>
      </c>
    </row>
    <row r="5360" spans="1:4" ht="13.05" customHeight="1" x14ac:dyDescent="0.3">
      <c r="A5360" s="2" t="s">
        <v>789</v>
      </c>
      <c r="B5360" s="2" t="s">
        <v>1199</v>
      </c>
      <c r="C5360" s="5" t="s">
        <v>1061</v>
      </c>
      <c r="D5360" s="2" t="s">
        <v>6142</v>
      </c>
    </row>
    <row r="5361" spans="1:4" ht="13.05" customHeight="1" x14ac:dyDescent="0.3">
      <c r="A5361" s="2" t="s">
        <v>789</v>
      </c>
      <c r="B5361" s="2" t="s">
        <v>1199</v>
      </c>
      <c r="C5361" s="5" t="s">
        <v>1063</v>
      </c>
      <c r="D5361" s="2" t="s">
        <v>6143</v>
      </c>
    </row>
    <row r="5362" spans="1:4" ht="13.05" customHeight="1" x14ac:dyDescent="0.3">
      <c r="A5362" s="2" t="s">
        <v>789</v>
      </c>
      <c r="B5362" s="2" t="s">
        <v>1199</v>
      </c>
      <c r="C5362" s="5" t="s">
        <v>1065</v>
      </c>
      <c r="D5362" s="2" t="s">
        <v>6144</v>
      </c>
    </row>
    <row r="5363" spans="1:4" ht="13.05" customHeight="1" x14ac:dyDescent="0.3">
      <c r="A5363" s="2" t="s">
        <v>789</v>
      </c>
      <c r="B5363" s="2" t="s">
        <v>1199</v>
      </c>
      <c r="C5363" s="5" t="s">
        <v>1067</v>
      </c>
      <c r="D5363" s="2" t="s">
        <v>6124</v>
      </c>
    </row>
    <row r="5364" spans="1:4" ht="13.05" customHeight="1" x14ac:dyDescent="0.3">
      <c r="A5364" s="2" t="s">
        <v>789</v>
      </c>
      <c r="B5364" s="2" t="s">
        <v>1199</v>
      </c>
      <c r="C5364" s="5" t="s">
        <v>1069</v>
      </c>
      <c r="D5364" s="2" t="s">
        <v>6145</v>
      </c>
    </row>
    <row r="5365" spans="1:4" ht="13.05" customHeight="1" x14ac:dyDescent="0.3">
      <c r="A5365" s="2" t="s">
        <v>789</v>
      </c>
      <c r="B5365" s="2" t="s">
        <v>1199</v>
      </c>
      <c r="C5365" s="5" t="s">
        <v>1071</v>
      </c>
      <c r="D5365" s="2" t="s">
        <v>6126</v>
      </c>
    </row>
    <row r="5366" spans="1:4" ht="13.05" customHeight="1" x14ac:dyDescent="0.3">
      <c r="A5366" s="2" t="s">
        <v>789</v>
      </c>
      <c r="B5366" s="2" t="s">
        <v>1199</v>
      </c>
      <c r="C5366" s="5" t="s">
        <v>1073</v>
      </c>
      <c r="D5366" s="2" t="s">
        <v>6127</v>
      </c>
    </row>
    <row r="5367" spans="1:4" ht="13.05" customHeight="1" x14ac:dyDescent="0.3">
      <c r="A5367" s="2" t="s">
        <v>789</v>
      </c>
      <c r="B5367" s="2" t="s">
        <v>1199</v>
      </c>
      <c r="C5367" s="5" t="s">
        <v>1075</v>
      </c>
      <c r="D5367" s="2" t="s">
        <v>6128</v>
      </c>
    </row>
    <row r="5368" spans="1:4" ht="13.05" customHeight="1" x14ac:dyDescent="0.3">
      <c r="A5368" s="2" t="s">
        <v>789</v>
      </c>
      <c r="B5368" s="2" t="s">
        <v>1199</v>
      </c>
      <c r="C5368" s="5" t="s">
        <v>1077</v>
      </c>
      <c r="D5368" s="2" t="s">
        <v>6129</v>
      </c>
    </row>
    <row r="5369" spans="1:4" ht="13.05" customHeight="1" x14ac:dyDescent="0.3">
      <c r="A5369" s="2" t="s">
        <v>789</v>
      </c>
      <c r="B5369" s="2" t="s">
        <v>1199</v>
      </c>
      <c r="C5369" s="5" t="s">
        <v>1079</v>
      </c>
      <c r="D5369" s="2" t="s">
        <v>6130</v>
      </c>
    </row>
    <row r="5370" spans="1:4" ht="13.05" customHeight="1" x14ac:dyDescent="0.3">
      <c r="A5370" s="2" t="s">
        <v>789</v>
      </c>
      <c r="B5370" s="2" t="s">
        <v>1199</v>
      </c>
      <c r="C5370" s="5" t="s">
        <v>1081</v>
      </c>
      <c r="D5370" s="2" t="s">
        <v>6131</v>
      </c>
    </row>
    <row r="5371" spans="1:4" ht="13.05" customHeight="1" x14ac:dyDescent="0.3">
      <c r="A5371" s="2" t="s">
        <v>789</v>
      </c>
      <c r="B5371" s="2" t="s">
        <v>1199</v>
      </c>
      <c r="C5371" s="5" t="s">
        <v>1222</v>
      </c>
      <c r="D5371" s="2" t="s">
        <v>6132</v>
      </c>
    </row>
    <row r="5372" spans="1:4" ht="13.05" customHeight="1" x14ac:dyDescent="0.3">
      <c r="A5372" s="2" t="s">
        <v>789</v>
      </c>
      <c r="B5372" s="2" t="s">
        <v>1199</v>
      </c>
      <c r="C5372" s="5" t="s">
        <v>1052</v>
      </c>
      <c r="D5372" s="2" t="s">
        <v>1053</v>
      </c>
    </row>
    <row r="5373" spans="1:4" ht="13.05" customHeight="1" x14ac:dyDescent="0.3">
      <c r="A5373" s="2" t="s">
        <v>791</v>
      </c>
      <c r="B5373" s="2" t="s">
        <v>1199</v>
      </c>
      <c r="C5373" s="5" t="s">
        <v>1044</v>
      </c>
      <c r="D5373" s="2" t="s">
        <v>1045</v>
      </c>
    </row>
    <row r="5374" spans="1:4" ht="13.05" customHeight="1" x14ac:dyDescent="0.3">
      <c r="A5374" s="2" t="s">
        <v>791</v>
      </c>
      <c r="B5374" s="2" t="s">
        <v>1199</v>
      </c>
      <c r="C5374" s="5" t="s">
        <v>1015</v>
      </c>
      <c r="D5374" s="2" t="s">
        <v>1016</v>
      </c>
    </row>
    <row r="5375" spans="1:4" ht="13.05" customHeight="1" x14ac:dyDescent="0.3">
      <c r="A5375" s="2" t="s">
        <v>791</v>
      </c>
      <c r="B5375" s="2" t="s">
        <v>1199</v>
      </c>
      <c r="C5375" s="5" t="s">
        <v>1017</v>
      </c>
      <c r="D5375" s="2" t="s">
        <v>1018</v>
      </c>
    </row>
    <row r="5376" spans="1:4" ht="13.05" customHeight="1" x14ac:dyDescent="0.3">
      <c r="A5376" s="2" t="s">
        <v>791</v>
      </c>
      <c r="B5376" s="2" t="s">
        <v>1199</v>
      </c>
      <c r="C5376" s="5" t="s">
        <v>1019</v>
      </c>
      <c r="D5376" s="2" t="s">
        <v>1020</v>
      </c>
    </row>
    <row r="5377" spans="1:4" ht="13.05" customHeight="1" x14ac:dyDescent="0.3">
      <c r="A5377" s="2" t="s">
        <v>791</v>
      </c>
      <c r="B5377" s="2" t="s">
        <v>1199</v>
      </c>
      <c r="C5377" s="5" t="s">
        <v>1021</v>
      </c>
      <c r="D5377" s="2" t="s">
        <v>890</v>
      </c>
    </row>
    <row r="5378" spans="1:4" ht="13.05" customHeight="1" x14ac:dyDescent="0.3">
      <c r="A5378" s="2" t="s">
        <v>791</v>
      </c>
      <c r="B5378" s="2" t="s">
        <v>1199</v>
      </c>
      <c r="C5378" s="5" t="s">
        <v>1023</v>
      </c>
      <c r="D5378" s="2" t="s">
        <v>6137</v>
      </c>
    </row>
    <row r="5379" spans="1:4" ht="13.05" customHeight="1" x14ac:dyDescent="0.3">
      <c r="A5379" s="2" t="s">
        <v>791</v>
      </c>
      <c r="B5379" s="2" t="s">
        <v>1199</v>
      </c>
      <c r="C5379" s="5" t="s">
        <v>1025</v>
      </c>
      <c r="D5379" s="2" t="s">
        <v>6157</v>
      </c>
    </row>
    <row r="5380" spans="1:4" ht="13.05" customHeight="1" x14ac:dyDescent="0.3">
      <c r="A5380" s="2" t="s">
        <v>791</v>
      </c>
      <c r="B5380" s="2" t="s">
        <v>1199</v>
      </c>
      <c r="C5380" s="5" t="s">
        <v>1027</v>
      </c>
      <c r="D5380" s="2" t="s">
        <v>6117</v>
      </c>
    </row>
    <row r="5381" spans="1:4" ht="13.05" customHeight="1" x14ac:dyDescent="0.3">
      <c r="A5381" s="2" t="s">
        <v>791</v>
      </c>
      <c r="B5381" s="2" t="s">
        <v>1199</v>
      </c>
      <c r="C5381" s="5" t="s">
        <v>1029</v>
      </c>
      <c r="D5381" s="2" t="s">
        <v>6138</v>
      </c>
    </row>
    <row r="5382" spans="1:4" ht="13.05" customHeight="1" x14ac:dyDescent="0.3">
      <c r="A5382" s="2" t="s">
        <v>791</v>
      </c>
      <c r="B5382" s="2" t="s">
        <v>1199</v>
      </c>
      <c r="C5382" s="5" t="s">
        <v>1031</v>
      </c>
      <c r="D5382" s="2" t="s">
        <v>6139</v>
      </c>
    </row>
    <row r="5383" spans="1:4" ht="13.05" customHeight="1" x14ac:dyDescent="0.3">
      <c r="A5383" s="2" t="s">
        <v>791</v>
      </c>
      <c r="B5383" s="2" t="s">
        <v>1199</v>
      </c>
      <c r="C5383" s="5" t="s">
        <v>1040</v>
      </c>
      <c r="D5383" s="2" t="s">
        <v>6140</v>
      </c>
    </row>
    <row r="5384" spans="1:4" ht="13.05" customHeight="1" x14ac:dyDescent="0.3">
      <c r="A5384" s="2" t="s">
        <v>791</v>
      </c>
      <c r="B5384" s="2" t="s">
        <v>1199</v>
      </c>
      <c r="C5384" s="5" t="s">
        <v>1042</v>
      </c>
      <c r="D5384" s="2" t="s">
        <v>6141</v>
      </c>
    </row>
    <row r="5385" spans="1:4" ht="13.05" customHeight="1" x14ac:dyDescent="0.3">
      <c r="A5385" s="2" t="s">
        <v>791</v>
      </c>
      <c r="B5385" s="2" t="s">
        <v>1199</v>
      </c>
      <c r="C5385" s="5" t="s">
        <v>1061</v>
      </c>
      <c r="D5385" s="2" t="s">
        <v>6142</v>
      </c>
    </row>
    <row r="5386" spans="1:4" ht="13.05" customHeight="1" x14ac:dyDescent="0.3">
      <c r="A5386" s="2" t="s">
        <v>791</v>
      </c>
      <c r="B5386" s="2" t="s">
        <v>1199</v>
      </c>
      <c r="C5386" s="5" t="s">
        <v>1063</v>
      </c>
      <c r="D5386" s="2" t="s">
        <v>6143</v>
      </c>
    </row>
    <row r="5387" spans="1:4" ht="13.05" customHeight="1" x14ac:dyDescent="0.3">
      <c r="A5387" s="2" t="s">
        <v>791</v>
      </c>
      <c r="B5387" s="2" t="s">
        <v>1199</v>
      </c>
      <c r="C5387" s="5" t="s">
        <v>1065</v>
      </c>
      <c r="D5387" s="2" t="s">
        <v>6144</v>
      </c>
    </row>
    <row r="5388" spans="1:4" ht="13.05" customHeight="1" x14ac:dyDescent="0.3">
      <c r="A5388" s="2" t="s">
        <v>791</v>
      </c>
      <c r="B5388" s="2" t="s">
        <v>1199</v>
      </c>
      <c r="C5388" s="5" t="s">
        <v>1067</v>
      </c>
      <c r="D5388" s="2" t="s">
        <v>6124</v>
      </c>
    </row>
    <row r="5389" spans="1:4" ht="13.05" customHeight="1" x14ac:dyDescent="0.3">
      <c r="A5389" s="2" t="s">
        <v>791</v>
      </c>
      <c r="B5389" s="2" t="s">
        <v>1199</v>
      </c>
      <c r="C5389" s="5" t="s">
        <v>1069</v>
      </c>
      <c r="D5389" s="2" t="s">
        <v>6145</v>
      </c>
    </row>
    <row r="5390" spans="1:4" ht="13.05" customHeight="1" x14ac:dyDescent="0.3">
      <c r="A5390" s="2" t="s">
        <v>791</v>
      </c>
      <c r="B5390" s="2" t="s">
        <v>1199</v>
      </c>
      <c r="C5390" s="5" t="s">
        <v>1071</v>
      </c>
      <c r="D5390" s="2" t="s">
        <v>6126</v>
      </c>
    </row>
    <row r="5391" spans="1:4" ht="13.05" customHeight="1" x14ac:dyDescent="0.3">
      <c r="A5391" s="2" t="s">
        <v>791</v>
      </c>
      <c r="B5391" s="2" t="s">
        <v>1199</v>
      </c>
      <c r="C5391" s="5" t="s">
        <v>1073</v>
      </c>
      <c r="D5391" s="2" t="s">
        <v>6127</v>
      </c>
    </row>
    <row r="5392" spans="1:4" ht="13.05" customHeight="1" x14ac:dyDescent="0.3">
      <c r="A5392" s="2" t="s">
        <v>791</v>
      </c>
      <c r="B5392" s="2" t="s">
        <v>1199</v>
      </c>
      <c r="C5392" s="5" t="s">
        <v>1075</v>
      </c>
      <c r="D5392" s="2" t="s">
        <v>6128</v>
      </c>
    </row>
    <row r="5393" spans="1:4" ht="13.05" customHeight="1" x14ac:dyDescent="0.3">
      <c r="A5393" s="2" t="s">
        <v>791</v>
      </c>
      <c r="B5393" s="2" t="s">
        <v>1199</v>
      </c>
      <c r="C5393" s="5" t="s">
        <v>1077</v>
      </c>
      <c r="D5393" s="2" t="s">
        <v>6129</v>
      </c>
    </row>
    <row r="5394" spans="1:4" ht="13.05" customHeight="1" x14ac:dyDescent="0.3">
      <c r="A5394" s="2" t="s">
        <v>791</v>
      </c>
      <c r="B5394" s="2" t="s">
        <v>1199</v>
      </c>
      <c r="C5394" s="5" t="s">
        <v>1079</v>
      </c>
      <c r="D5394" s="2" t="s">
        <v>6130</v>
      </c>
    </row>
    <row r="5395" spans="1:4" ht="13.05" customHeight="1" x14ac:dyDescent="0.3">
      <c r="A5395" s="2" t="s">
        <v>791</v>
      </c>
      <c r="B5395" s="2" t="s">
        <v>1199</v>
      </c>
      <c r="C5395" s="5" t="s">
        <v>1081</v>
      </c>
      <c r="D5395" s="2" t="s">
        <v>6131</v>
      </c>
    </row>
    <row r="5396" spans="1:4" ht="13.05" customHeight="1" x14ac:dyDescent="0.3">
      <c r="A5396" s="2" t="s">
        <v>791</v>
      </c>
      <c r="B5396" s="2" t="s">
        <v>1199</v>
      </c>
      <c r="C5396" s="5" t="s">
        <v>1222</v>
      </c>
      <c r="D5396" s="2" t="s">
        <v>6132</v>
      </c>
    </row>
    <row r="5397" spans="1:4" ht="13.05" customHeight="1" x14ac:dyDescent="0.3">
      <c r="A5397" s="2" t="s">
        <v>791</v>
      </c>
      <c r="B5397" s="2" t="s">
        <v>1199</v>
      </c>
      <c r="C5397" s="5" t="s">
        <v>1052</v>
      </c>
      <c r="D5397" s="2" t="s">
        <v>1053</v>
      </c>
    </row>
    <row r="5398" spans="1:4" ht="13.05" customHeight="1" x14ac:dyDescent="0.3">
      <c r="A5398" s="2" t="s">
        <v>793</v>
      </c>
      <c r="B5398" s="2" t="s">
        <v>1199</v>
      </c>
      <c r="C5398" s="5" t="s">
        <v>1044</v>
      </c>
      <c r="D5398" s="2" t="s">
        <v>1045</v>
      </c>
    </row>
    <row r="5399" spans="1:4" ht="13.05" customHeight="1" x14ac:dyDescent="0.3">
      <c r="A5399" s="2" t="s">
        <v>793</v>
      </c>
      <c r="B5399" s="2" t="s">
        <v>1199</v>
      </c>
      <c r="C5399" s="5" t="s">
        <v>1015</v>
      </c>
      <c r="D5399" s="2" t="s">
        <v>1016</v>
      </c>
    </row>
    <row r="5400" spans="1:4" ht="13.05" customHeight="1" x14ac:dyDescent="0.3">
      <c r="A5400" s="2" t="s">
        <v>793</v>
      </c>
      <c r="B5400" s="2" t="s">
        <v>1199</v>
      </c>
      <c r="C5400" s="5" t="s">
        <v>1017</v>
      </c>
      <c r="D5400" s="2" t="s">
        <v>1018</v>
      </c>
    </row>
    <row r="5401" spans="1:4" ht="13.05" customHeight="1" x14ac:dyDescent="0.3">
      <c r="A5401" s="2" t="s">
        <v>793</v>
      </c>
      <c r="B5401" s="2" t="s">
        <v>1199</v>
      </c>
      <c r="C5401" s="5" t="s">
        <v>1019</v>
      </c>
      <c r="D5401" s="2" t="s">
        <v>1020</v>
      </c>
    </row>
    <row r="5402" spans="1:4" ht="13.05" customHeight="1" x14ac:dyDescent="0.3">
      <c r="A5402" s="2" t="s">
        <v>793</v>
      </c>
      <c r="B5402" s="2" t="s">
        <v>1199</v>
      </c>
      <c r="C5402" s="5" t="s">
        <v>1021</v>
      </c>
      <c r="D5402" s="2" t="s">
        <v>890</v>
      </c>
    </row>
    <row r="5403" spans="1:4" ht="13.05" customHeight="1" x14ac:dyDescent="0.3">
      <c r="A5403" s="2" t="s">
        <v>793</v>
      </c>
      <c r="B5403" s="2" t="s">
        <v>1199</v>
      </c>
      <c r="C5403" s="5" t="s">
        <v>1023</v>
      </c>
      <c r="D5403" s="2" t="s">
        <v>6137</v>
      </c>
    </row>
    <row r="5404" spans="1:4" ht="13.05" customHeight="1" x14ac:dyDescent="0.3">
      <c r="A5404" s="2" t="s">
        <v>793</v>
      </c>
      <c r="B5404" s="2" t="s">
        <v>1199</v>
      </c>
      <c r="C5404" s="5" t="s">
        <v>1025</v>
      </c>
      <c r="D5404" s="2" t="s">
        <v>6157</v>
      </c>
    </row>
    <row r="5405" spans="1:4" ht="13.05" customHeight="1" x14ac:dyDescent="0.3">
      <c r="A5405" s="2" t="s">
        <v>793</v>
      </c>
      <c r="B5405" s="2" t="s">
        <v>1199</v>
      </c>
      <c r="C5405" s="5" t="s">
        <v>1027</v>
      </c>
      <c r="D5405" s="2" t="s">
        <v>6117</v>
      </c>
    </row>
    <row r="5406" spans="1:4" ht="13.05" customHeight="1" x14ac:dyDescent="0.3">
      <c r="A5406" s="2" t="s">
        <v>793</v>
      </c>
      <c r="B5406" s="2" t="s">
        <v>1199</v>
      </c>
      <c r="C5406" s="5" t="s">
        <v>1029</v>
      </c>
      <c r="D5406" s="2" t="s">
        <v>6138</v>
      </c>
    </row>
    <row r="5407" spans="1:4" ht="13.05" customHeight="1" x14ac:dyDescent="0.3">
      <c r="A5407" s="2" t="s">
        <v>793</v>
      </c>
      <c r="B5407" s="2" t="s">
        <v>1199</v>
      </c>
      <c r="C5407" s="5" t="s">
        <v>1031</v>
      </c>
      <c r="D5407" s="2" t="s">
        <v>6139</v>
      </c>
    </row>
    <row r="5408" spans="1:4" ht="13.05" customHeight="1" x14ac:dyDescent="0.3">
      <c r="A5408" s="2" t="s">
        <v>793</v>
      </c>
      <c r="B5408" s="2" t="s">
        <v>1199</v>
      </c>
      <c r="C5408" s="5" t="s">
        <v>1040</v>
      </c>
      <c r="D5408" s="2" t="s">
        <v>6140</v>
      </c>
    </row>
    <row r="5409" spans="1:4" ht="13.05" customHeight="1" x14ac:dyDescent="0.3">
      <c r="A5409" s="2" t="s">
        <v>793</v>
      </c>
      <c r="B5409" s="2" t="s">
        <v>1199</v>
      </c>
      <c r="C5409" s="5" t="s">
        <v>1042</v>
      </c>
      <c r="D5409" s="2" t="s">
        <v>6141</v>
      </c>
    </row>
    <row r="5410" spans="1:4" ht="13.05" customHeight="1" x14ac:dyDescent="0.3">
      <c r="A5410" s="2" t="s">
        <v>793</v>
      </c>
      <c r="B5410" s="2" t="s">
        <v>1199</v>
      </c>
      <c r="C5410" s="5" t="s">
        <v>1061</v>
      </c>
      <c r="D5410" s="2" t="s">
        <v>6142</v>
      </c>
    </row>
    <row r="5411" spans="1:4" ht="13.05" customHeight="1" x14ac:dyDescent="0.3">
      <c r="A5411" s="2" t="s">
        <v>793</v>
      </c>
      <c r="B5411" s="2" t="s">
        <v>1199</v>
      </c>
      <c r="C5411" s="5" t="s">
        <v>1063</v>
      </c>
      <c r="D5411" s="2" t="s">
        <v>6143</v>
      </c>
    </row>
    <row r="5412" spans="1:4" ht="13.05" customHeight="1" x14ac:dyDescent="0.3">
      <c r="A5412" s="2" t="s">
        <v>793</v>
      </c>
      <c r="B5412" s="2" t="s">
        <v>1199</v>
      </c>
      <c r="C5412" s="5" t="s">
        <v>1065</v>
      </c>
      <c r="D5412" s="2" t="s">
        <v>6144</v>
      </c>
    </row>
    <row r="5413" spans="1:4" ht="13.05" customHeight="1" x14ac:dyDescent="0.3">
      <c r="A5413" s="2" t="s">
        <v>793</v>
      </c>
      <c r="B5413" s="2" t="s">
        <v>1199</v>
      </c>
      <c r="C5413" s="5" t="s">
        <v>1067</v>
      </c>
      <c r="D5413" s="2" t="s">
        <v>6124</v>
      </c>
    </row>
    <row r="5414" spans="1:4" ht="13.05" customHeight="1" x14ac:dyDescent="0.3">
      <c r="A5414" s="2" t="s">
        <v>793</v>
      </c>
      <c r="B5414" s="2" t="s">
        <v>1199</v>
      </c>
      <c r="C5414" s="5" t="s">
        <v>1069</v>
      </c>
      <c r="D5414" s="2" t="s">
        <v>6145</v>
      </c>
    </row>
    <row r="5415" spans="1:4" ht="13.05" customHeight="1" x14ac:dyDescent="0.3">
      <c r="A5415" s="2" t="s">
        <v>793</v>
      </c>
      <c r="B5415" s="2" t="s">
        <v>1199</v>
      </c>
      <c r="C5415" s="5" t="s">
        <v>1071</v>
      </c>
      <c r="D5415" s="2" t="s">
        <v>6126</v>
      </c>
    </row>
    <row r="5416" spans="1:4" ht="13.05" customHeight="1" x14ac:dyDescent="0.3">
      <c r="A5416" s="2" t="s">
        <v>793</v>
      </c>
      <c r="B5416" s="2" t="s">
        <v>1199</v>
      </c>
      <c r="C5416" s="5" t="s">
        <v>1073</v>
      </c>
      <c r="D5416" s="2" t="s">
        <v>6127</v>
      </c>
    </row>
    <row r="5417" spans="1:4" ht="13.05" customHeight="1" x14ac:dyDescent="0.3">
      <c r="A5417" s="2" t="s">
        <v>793</v>
      </c>
      <c r="B5417" s="2" t="s">
        <v>1199</v>
      </c>
      <c r="C5417" s="5" t="s">
        <v>1075</v>
      </c>
      <c r="D5417" s="2" t="s">
        <v>6128</v>
      </c>
    </row>
    <row r="5418" spans="1:4" ht="13.05" customHeight="1" x14ac:dyDescent="0.3">
      <c r="A5418" s="2" t="s">
        <v>793</v>
      </c>
      <c r="B5418" s="2" t="s">
        <v>1199</v>
      </c>
      <c r="C5418" s="5" t="s">
        <v>1077</v>
      </c>
      <c r="D5418" s="2" t="s">
        <v>6129</v>
      </c>
    </row>
    <row r="5419" spans="1:4" ht="13.05" customHeight="1" x14ac:dyDescent="0.3">
      <c r="A5419" s="2" t="s">
        <v>793</v>
      </c>
      <c r="B5419" s="2" t="s">
        <v>1199</v>
      </c>
      <c r="C5419" s="5" t="s">
        <v>1079</v>
      </c>
      <c r="D5419" s="2" t="s">
        <v>6130</v>
      </c>
    </row>
    <row r="5420" spans="1:4" ht="13.05" customHeight="1" x14ac:dyDescent="0.3">
      <c r="A5420" s="2" t="s">
        <v>793</v>
      </c>
      <c r="B5420" s="2" t="s">
        <v>1199</v>
      </c>
      <c r="C5420" s="5" t="s">
        <v>1081</v>
      </c>
      <c r="D5420" s="2" t="s">
        <v>6131</v>
      </c>
    </row>
    <row r="5421" spans="1:4" ht="13.05" customHeight="1" x14ac:dyDescent="0.3">
      <c r="A5421" s="2" t="s">
        <v>793</v>
      </c>
      <c r="B5421" s="2" t="s">
        <v>1199</v>
      </c>
      <c r="C5421" s="5" t="s">
        <v>1222</v>
      </c>
      <c r="D5421" s="2" t="s">
        <v>6132</v>
      </c>
    </row>
    <row r="5422" spans="1:4" ht="13.05" customHeight="1" x14ac:dyDescent="0.3">
      <c r="A5422" s="2" t="s">
        <v>793</v>
      </c>
      <c r="B5422" s="2" t="s">
        <v>1199</v>
      </c>
      <c r="C5422" s="5" t="s">
        <v>1052</v>
      </c>
      <c r="D5422" s="2" t="s">
        <v>1053</v>
      </c>
    </row>
    <row r="5423" spans="1:4" ht="13.05" customHeight="1" x14ac:dyDescent="0.3">
      <c r="A5423" s="2" t="s">
        <v>795</v>
      </c>
      <c r="B5423" s="2" t="s">
        <v>1199</v>
      </c>
      <c r="C5423" s="5" t="s">
        <v>1044</v>
      </c>
      <c r="D5423" s="2" t="s">
        <v>1045</v>
      </c>
    </row>
    <row r="5424" spans="1:4" ht="13.05" customHeight="1" x14ac:dyDescent="0.3">
      <c r="A5424" s="2" t="s">
        <v>795</v>
      </c>
      <c r="B5424" s="2" t="s">
        <v>1199</v>
      </c>
      <c r="C5424" s="5" t="s">
        <v>1015</v>
      </c>
      <c r="D5424" s="2" t="s">
        <v>1016</v>
      </c>
    </row>
    <row r="5425" spans="1:4" ht="13.05" customHeight="1" x14ac:dyDescent="0.3">
      <c r="A5425" s="2" t="s">
        <v>795</v>
      </c>
      <c r="B5425" s="2" t="s">
        <v>1199</v>
      </c>
      <c r="C5425" s="5" t="s">
        <v>1017</v>
      </c>
      <c r="D5425" s="2" t="s">
        <v>1018</v>
      </c>
    </row>
    <row r="5426" spans="1:4" ht="13.05" customHeight="1" x14ac:dyDescent="0.3">
      <c r="A5426" s="2" t="s">
        <v>795</v>
      </c>
      <c r="B5426" s="2" t="s">
        <v>1199</v>
      </c>
      <c r="C5426" s="5" t="s">
        <v>1019</v>
      </c>
      <c r="D5426" s="2" t="s">
        <v>1020</v>
      </c>
    </row>
    <row r="5427" spans="1:4" ht="13.05" customHeight="1" x14ac:dyDescent="0.3">
      <c r="A5427" s="2" t="s">
        <v>795</v>
      </c>
      <c r="B5427" s="2" t="s">
        <v>1199</v>
      </c>
      <c r="C5427" s="5" t="s">
        <v>1021</v>
      </c>
      <c r="D5427" s="2" t="s">
        <v>890</v>
      </c>
    </row>
    <row r="5428" spans="1:4" ht="13.05" customHeight="1" x14ac:dyDescent="0.3">
      <c r="A5428" s="2" t="s">
        <v>795</v>
      </c>
      <c r="B5428" s="2" t="s">
        <v>1199</v>
      </c>
      <c r="C5428" s="5" t="s">
        <v>1023</v>
      </c>
      <c r="D5428" s="2" t="s">
        <v>6137</v>
      </c>
    </row>
    <row r="5429" spans="1:4" ht="13.05" customHeight="1" x14ac:dyDescent="0.3">
      <c r="A5429" s="2" t="s">
        <v>795</v>
      </c>
      <c r="B5429" s="2" t="s">
        <v>1199</v>
      </c>
      <c r="C5429" s="5" t="s">
        <v>1025</v>
      </c>
      <c r="D5429" s="2" t="s">
        <v>6157</v>
      </c>
    </row>
    <row r="5430" spans="1:4" ht="13.05" customHeight="1" x14ac:dyDescent="0.3">
      <c r="A5430" s="2" t="s">
        <v>795</v>
      </c>
      <c r="B5430" s="2" t="s">
        <v>1199</v>
      </c>
      <c r="C5430" s="5" t="s">
        <v>1027</v>
      </c>
      <c r="D5430" s="2" t="s">
        <v>6117</v>
      </c>
    </row>
    <row r="5431" spans="1:4" ht="13.05" customHeight="1" x14ac:dyDescent="0.3">
      <c r="A5431" s="2" t="s">
        <v>795</v>
      </c>
      <c r="B5431" s="2" t="s">
        <v>1199</v>
      </c>
      <c r="C5431" s="5" t="s">
        <v>1029</v>
      </c>
      <c r="D5431" s="2" t="s">
        <v>6138</v>
      </c>
    </row>
    <row r="5432" spans="1:4" ht="13.05" customHeight="1" x14ac:dyDescent="0.3">
      <c r="A5432" s="2" t="s">
        <v>795</v>
      </c>
      <c r="B5432" s="2" t="s">
        <v>1199</v>
      </c>
      <c r="C5432" s="5" t="s">
        <v>1031</v>
      </c>
      <c r="D5432" s="2" t="s">
        <v>6139</v>
      </c>
    </row>
    <row r="5433" spans="1:4" ht="13.05" customHeight="1" x14ac:dyDescent="0.3">
      <c r="A5433" s="2" t="s">
        <v>795</v>
      </c>
      <c r="B5433" s="2" t="s">
        <v>1199</v>
      </c>
      <c r="C5433" s="5" t="s">
        <v>1040</v>
      </c>
      <c r="D5433" s="2" t="s">
        <v>6140</v>
      </c>
    </row>
    <row r="5434" spans="1:4" ht="13.05" customHeight="1" x14ac:dyDescent="0.3">
      <c r="A5434" s="2" t="s">
        <v>795</v>
      </c>
      <c r="B5434" s="2" t="s">
        <v>1199</v>
      </c>
      <c r="C5434" s="5" t="s">
        <v>1042</v>
      </c>
      <c r="D5434" s="2" t="s">
        <v>6141</v>
      </c>
    </row>
    <row r="5435" spans="1:4" ht="13.05" customHeight="1" x14ac:dyDescent="0.3">
      <c r="A5435" s="2" t="s">
        <v>795</v>
      </c>
      <c r="B5435" s="2" t="s">
        <v>1199</v>
      </c>
      <c r="C5435" s="5" t="s">
        <v>1061</v>
      </c>
      <c r="D5435" s="2" t="s">
        <v>6142</v>
      </c>
    </row>
    <row r="5436" spans="1:4" ht="13.05" customHeight="1" x14ac:dyDescent="0.3">
      <c r="A5436" s="2" t="s">
        <v>795</v>
      </c>
      <c r="B5436" s="2" t="s">
        <v>1199</v>
      </c>
      <c r="C5436" s="5" t="s">
        <v>1063</v>
      </c>
      <c r="D5436" s="2" t="s">
        <v>6143</v>
      </c>
    </row>
    <row r="5437" spans="1:4" ht="13.05" customHeight="1" x14ac:dyDescent="0.3">
      <c r="A5437" s="2" t="s">
        <v>795</v>
      </c>
      <c r="B5437" s="2" t="s">
        <v>1199</v>
      </c>
      <c r="C5437" s="5" t="s">
        <v>1065</v>
      </c>
      <c r="D5437" s="2" t="s">
        <v>6144</v>
      </c>
    </row>
    <row r="5438" spans="1:4" ht="13.05" customHeight="1" x14ac:dyDescent="0.3">
      <c r="A5438" s="2" t="s">
        <v>795</v>
      </c>
      <c r="B5438" s="2" t="s">
        <v>1199</v>
      </c>
      <c r="C5438" s="5" t="s">
        <v>1067</v>
      </c>
      <c r="D5438" s="2" t="s">
        <v>6124</v>
      </c>
    </row>
    <row r="5439" spans="1:4" ht="13.05" customHeight="1" x14ac:dyDescent="0.3">
      <c r="A5439" s="2" t="s">
        <v>795</v>
      </c>
      <c r="B5439" s="2" t="s">
        <v>1199</v>
      </c>
      <c r="C5439" s="5" t="s">
        <v>1069</v>
      </c>
      <c r="D5439" s="2" t="s">
        <v>6145</v>
      </c>
    </row>
    <row r="5440" spans="1:4" ht="13.05" customHeight="1" x14ac:dyDescent="0.3">
      <c r="A5440" s="2" t="s">
        <v>795</v>
      </c>
      <c r="B5440" s="2" t="s">
        <v>1199</v>
      </c>
      <c r="C5440" s="5" t="s">
        <v>1071</v>
      </c>
      <c r="D5440" s="2" t="s">
        <v>6126</v>
      </c>
    </row>
    <row r="5441" spans="1:4" ht="13.05" customHeight="1" x14ac:dyDescent="0.3">
      <c r="A5441" s="2" t="s">
        <v>795</v>
      </c>
      <c r="B5441" s="2" t="s">
        <v>1199</v>
      </c>
      <c r="C5441" s="5" t="s">
        <v>1073</v>
      </c>
      <c r="D5441" s="2" t="s">
        <v>6127</v>
      </c>
    </row>
    <row r="5442" spans="1:4" ht="13.05" customHeight="1" x14ac:dyDescent="0.3">
      <c r="A5442" s="2" t="s">
        <v>795</v>
      </c>
      <c r="B5442" s="2" t="s">
        <v>1199</v>
      </c>
      <c r="C5442" s="5" t="s">
        <v>1075</v>
      </c>
      <c r="D5442" s="2" t="s">
        <v>6128</v>
      </c>
    </row>
    <row r="5443" spans="1:4" ht="13.05" customHeight="1" x14ac:dyDescent="0.3">
      <c r="A5443" s="2" t="s">
        <v>795</v>
      </c>
      <c r="B5443" s="2" t="s">
        <v>1199</v>
      </c>
      <c r="C5443" s="5" t="s">
        <v>1077</v>
      </c>
      <c r="D5443" s="2" t="s">
        <v>6129</v>
      </c>
    </row>
    <row r="5444" spans="1:4" ht="13.05" customHeight="1" x14ac:dyDescent="0.3">
      <c r="A5444" s="2" t="s">
        <v>795</v>
      </c>
      <c r="B5444" s="2" t="s">
        <v>1199</v>
      </c>
      <c r="C5444" s="5" t="s">
        <v>1079</v>
      </c>
      <c r="D5444" s="2" t="s">
        <v>6130</v>
      </c>
    </row>
    <row r="5445" spans="1:4" ht="13.05" customHeight="1" x14ac:dyDescent="0.3">
      <c r="A5445" s="2" t="s">
        <v>795</v>
      </c>
      <c r="B5445" s="2" t="s">
        <v>1199</v>
      </c>
      <c r="C5445" s="5" t="s">
        <v>1081</v>
      </c>
      <c r="D5445" s="2" t="s">
        <v>6131</v>
      </c>
    </row>
    <row r="5446" spans="1:4" ht="13.05" customHeight="1" x14ac:dyDescent="0.3">
      <c r="A5446" s="2" t="s">
        <v>795</v>
      </c>
      <c r="B5446" s="2" t="s">
        <v>1199</v>
      </c>
      <c r="C5446" s="5" t="s">
        <v>1222</v>
      </c>
      <c r="D5446" s="2" t="s">
        <v>6132</v>
      </c>
    </row>
    <row r="5447" spans="1:4" ht="13.05" customHeight="1" x14ac:dyDescent="0.3">
      <c r="A5447" s="2" t="s">
        <v>795</v>
      </c>
      <c r="B5447" s="2" t="s">
        <v>1199</v>
      </c>
      <c r="C5447" s="5" t="s">
        <v>1052</v>
      </c>
      <c r="D5447" s="2" t="s">
        <v>1053</v>
      </c>
    </row>
    <row r="5448" spans="1:4" ht="13.05" customHeight="1" x14ac:dyDescent="0.3">
      <c r="A5448" s="2" t="s">
        <v>797</v>
      </c>
      <c r="B5448" s="2" t="s">
        <v>1199</v>
      </c>
      <c r="C5448" s="5" t="s">
        <v>1044</v>
      </c>
      <c r="D5448" s="2" t="s">
        <v>1045</v>
      </c>
    </row>
    <row r="5449" spans="1:4" ht="13.05" customHeight="1" x14ac:dyDescent="0.3">
      <c r="A5449" s="2" t="s">
        <v>797</v>
      </c>
      <c r="B5449" s="2" t="s">
        <v>1199</v>
      </c>
      <c r="C5449" s="5" t="s">
        <v>1015</v>
      </c>
      <c r="D5449" s="2" t="s">
        <v>1016</v>
      </c>
    </row>
    <row r="5450" spans="1:4" ht="13.05" customHeight="1" x14ac:dyDescent="0.3">
      <c r="A5450" s="2" t="s">
        <v>797</v>
      </c>
      <c r="B5450" s="2" t="s">
        <v>1199</v>
      </c>
      <c r="C5450" s="5" t="s">
        <v>1017</v>
      </c>
      <c r="D5450" s="2" t="s">
        <v>1018</v>
      </c>
    </row>
    <row r="5451" spans="1:4" ht="13.05" customHeight="1" x14ac:dyDescent="0.3">
      <c r="A5451" s="2" t="s">
        <v>797</v>
      </c>
      <c r="B5451" s="2" t="s">
        <v>1199</v>
      </c>
      <c r="C5451" s="5" t="s">
        <v>1019</v>
      </c>
      <c r="D5451" s="2" t="s">
        <v>1020</v>
      </c>
    </row>
    <row r="5452" spans="1:4" ht="13.05" customHeight="1" x14ac:dyDescent="0.3">
      <c r="A5452" s="2" t="s">
        <v>797</v>
      </c>
      <c r="B5452" s="2" t="s">
        <v>1199</v>
      </c>
      <c r="C5452" s="5" t="s">
        <v>1021</v>
      </c>
      <c r="D5452" s="2" t="s">
        <v>890</v>
      </c>
    </row>
    <row r="5453" spans="1:4" ht="13.05" customHeight="1" x14ac:dyDescent="0.3">
      <c r="A5453" s="2" t="s">
        <v>797</v>
      </c>
      <c r="B5453" s="2" t="s">
        <v>1199</v>
      </c>
      <c r="C5453" s="5" t="s">
        <v>1023</v>
      </c>
      <c r="D5453" s="2" t="s">
        <v>6137</v>
      </c>
    </row>
    <row r="5454" spans="1:4" ht="13.05" customHeight="1" x14ac:dyDescent="0.3">
      <c r="A5454" s="2" t="s">
        <v>797</v>
      </c>
      <c r="B5454" s="2" t="s">
        <v>1199</v>
      </c>
      <c r="C5454" s="5" t="s">
        <v>1025</v>
      </c>
      <c r="D5454" s="2" t="s">
        <v>6157</v>
      </c>
    </row>
    <row r="5455" spans="1:4" ht="13.05" customHeight="1" x14ac:dyDescent="0.3">
      <c r="A5455" s="2" t="s">
        <v>797</v>
      </c>
      <c r="B5455" s="2" t="s">
        <v>1199</v>
      </c>
      <c r="C5455" s="5" t="s">
        <v>1027</v>
      </c>
      <c r="D5455" s="2" t="s">
        <v>6117</v>
      </c>
    </row>
    <row r="5456" spans="1:4" ht="13.05" customHeight="1" x14ac:dyDescent="0.3">
      <c r="A5456" s="2" t="s">
        <v>797</v>
      </c>
      <c r="B5456" s="2" t="s">
        <v>1199</v>
      </c>
      <c r="C5456" s="5" t="s">
        <v>1029</v>
      </c>
      <c r="D5456" s="2" t="s">
        <v>6138</v>
      </c>
    </row>
    <row r="5457" spans="1:4" ht="13.05" customHeight="1" x14ac:dyDescent="0.3">
      <c r="A5457" s="2" t="s">
        <v>797</v>
      </c>
      <c r="B5457" s="2" t="s">
        <v>1199</v>
      </c>
      <c r="C5457" s="5" t="s">
        <v>1031</v>
      </c>
      <c r="D5457" s="2" t="s">
        <v>6139</v>
      </c>
    </row>
    <row r="5458" spans="1:4" ht="13.05" customHeight="1" x14ac:dyDescent="0.3">
      <c r="A5458" s="2" t="s">
        <v>797</v>
      </c>
      <c r="B5458" s="2" t="s">
        <v>1199</v>
      </c>
      <c r="C5458" s="5" t="s">
        <v>1040</v>
      </c>
      <c r="D5458" s="2" t="s">
        <v>6140</v>
      </c>
    </row>
    <row r="5459" spans="1:4" ht="13.05" customHeight="1" x14ac:dyDescent="0.3">
      <c r="A5459" s="2" t="s">
        <v>797</v>
      </c>
      <c r="B5459" s="2" t="s">
        <v>1199</v>
      </c>
      <c r="C5459" s="5" t="s">
        <v>1042</v>
      </c>
      <c r="D5459" s="2" t="s">
        <v>6141</v>
      </c>
    </row>
    <row r="5460" spans="1:4" ht="13.05" customHeight="1" x14ac:dyDescent="0.3">
      <c r="A5460" s="2" t="s">
        <v>797</v>
      </c>
      <c r="B5460" s="2" t="s">
        <v>1199</v>
      </c>
      <c r="C5460" s="5" t="s">
        <v>1061</v>
      </c>
      <c r="D5460" s="2" t="s">
        <v>6142</v>
      </c>
    </row>
    <row r="5461" spans="1:4" ht="13.05" customHeight="1" x14ac:dyDescent="0.3">
      <c r="A5461" s="2" t="s">
        <v>797</v>
      </c>
      <c r="B5461" s="2" t="s">
        <v>1199</v>
      </c>
      <c r="C5461" s="5" t="s">
        <v>1063</v>
      </c>
      <c r="D5461" s="2" t="s">
        <v>6143</v>
      </c>
    </row>
    <row r="5462" spans="1:4" ht="13.05" customHeight="1" x14ac:dyDescent="0.3">
      <c r="A5462" s="2" t="s">
        <v>797</v>
      </c>
      <c r="B5462" s="2" t="s">
        <v>1199</v>
      </c>
      <c r="C5462" s="5" t="s">
        <v>1065</v>
      </c>
      <c r="D5462" s="2" t="s">
        <v>6144</v>
      </c>
    </row>
    <row r="5463" spans="1:4" ht="13.05" customHeight="1" x14ac:dyDescent="0.3">
      <c r="A5463" s="2" t="s">
        <v>797</v>
      </c>
      <c r="B5463" s="2" t="s">
        <v>1199</v>
      </c>
      <c r="C5463" s="5" t="s">
        <v>1067</v>
      </c>
      <c r="D5463" s="2" t="s">
        <v>6124</v>
      </c>
    </row>
    <row r="5464" spans="1:4" ht="13.05" customHeight="1" x14ac:dyDescent="0.3">
      <c r="A5464" s="2" t="s">
        <v>797</v>
      </c>
      <c r="B5464" s="2" t="s">
        <v>1199</v>
      </c>
      <c r="C5464" s="5" t="s">
        <v>1069</v>
      </c>
      <c r="D5464" s="2" t="s">
        <v>6145</v>
      </c>
    </row>
    <row r="5465" spans="1:4" ht="13.05" customHeight="1" x14ac:dyDescent="0.3">
      <c r="A5465" s="2" t="s">
        <v>797</v>
      </c>
      <c r="B5465" s="2" t="s">
        <v>1199</v>
      </c>
      <c r="C5465" s="5" t="s">
        <v>1071</v>
      </c>
      <c r="D5465" s="2" t="s">
        <v>6126</v>
      </c>
    </row>
    <row r="5466" spans="1:4" ht="13.05" customHeight="1" x14ac:dyDescent="0.3">
      <c r="A5466" s="2" t="s">
        <v>797</v>
      </c>
      <c r="B5466" s="2" t="s">
        <v>1199</v>
      </c>
      <c r="C5466" s="5" t="s">
        <v>1073</v>
      </c>
      <c r="D5466" s="2" t="s">
        <v>6127</v>
      </c>
    </row>
    <row r="5467" spans="1:4" ht="13.05" customHeight="1" x14ac:dyDescent="0.3">
      <c r="A5467" s="2" t="s">
        <v>797</v>
      </c>
      <c r="B5467" s="2" t="s">
        <v>1199</v>
      </c>
      <c r="C5467" s="5" t="s">
        <v>1075</v>
      </c>
      <c r="D5467" s="2" t="s">
        <v>6128</v>
      </c>
    </row>
    <row r="5468" spans="1:4" ht="13.05" customHeight="1" x14ac:dyDescent="0.3">
      <c r="A5468" s="2" t="s">
        <v>797</v>
      </c>
      <c r="B5468" s="2" t="s">
        <v>1199</v>
      </c>
      <c r="C5468" s="5" t="s">
        <v>1077</v>
      </c>
      <c r="D5468" s="2" t="s">
        <v>6129</v>
      </c>
    </row>
    <row r="5469" spans="1:4" ht="13.05" customHeight="1" x14ac:dyDescent="0.3">
      <c r="A5469" s="2" t="s">
        <v>797</v>
      </c>
      <c r="B5469" s="2" t="s">
        <v>1199</v>
      </c>
      <c r="C5469" s="5" t="s">
        <v>1079</v>
      </c>
      <c r="D5469" s="2" t="s">
        <v>6130</v>
      </c>
    </row>
    <row r="5470" spans="1:4" ht="13.05" customHeight="1" x14ac:dyDescent="0.3">
      <c r="A5470" s="2" t="s">
        <v>797</v>
      </c>
      <c r="B5470" s="2" t="s">
        <v>1199</v>
      </c>
      <c r="C5470" s="5" t="s">
        <v>1081</v>
      </c>
      <c r="D5470" s="2" t="s">
        <v>6131</v>
      </c>
    </row>
    <row r="5471" spans="1:4" ht="13.05" customHeight="1" x14ac:dyDescent="0.3">
      <c r="A5471" s="2" t="s">
        <v>797</v>
      </c>
      <c r="B5471" s="2" t="s">
        <v>1199</v>
      </c>
      <c r="C5471" s="5" t="s">
        <v>1222</v>
      </c>
      <c r="D5471" s="2" t="s">
        <v>6132</v>
      </c>
    </row>
    <row r="5472" spans="1:4" ht="13.05" customHeight="1" x14ac:dyDescent="0.3">
      <c r="A5472" s="2" t="s">
        <v>797</v>
      </c>
      <c r="B5472" s="2" t="s">
        <v>1199</v>
      </c>
      <c r="C5472" s="5" t="s">
        <v>1052</v>
      </c>
      <c r="D5472" s="2" t="s">
        <v>1053</v>
      </c>
    </row>
    <row r="5473" spans="1:4" ht="13.05" customHeight="1" x14ac:dyDescent="0.3">
      <c r="A5473" s="2" t="s">
        <v>799</v>
      </c>
      <c r="B5473" s="2" t="s">
        <v>1199</v>
      </c>
      <c r="C5473" s="5" t="s">
        <v>1044</v>
      </c>
      <c r="D5473" s="2" t="s">
        <v>1045</v>
      </c>
    </row>
    <row r="5474" spans="1:4" ht="13.05" customHeight="1" x14ac:dyDescent="0.3">
      <c r="A5474" s="2" t="s">
        <v>799</v>
      </c>
      <c r="B5474" s="2" t="s">
        <v>1199</v>
      </c>
      <c r="C5474" s="5" t="s">
        <v>1015</v>
      </c>
      <c r="D5474" s="2" t="s">
        <v>1016</v>
      </c>
    </row>
    <row r="5475" spans="1:4" ht="13.05" customHeight="1" x14ac:dyDescent="0.3">
      <c r="A5475" s="2" t="s">
        <v>799</v>
      </c>
      <c r="B5475" s="2" t="s">
        <v>1199</v>
      </c>
      <c r="C5475" s="5" t="s">
        <v>1017</v>
      </c>
      <c r="D5475" s="2" t="s">
        <v>1018</v>
      </c>
    </row>
    <row r="5476" spans="1:4" ht="13.05" customHeight="1" x14ac:dyDescent="0.3">
      <c r="A5476" s="2" t="s">
        <v>799</v>
      </c>
      <c r="B5476" s="2" t="s">
        <v>1199</v>
      </c>
      <c r="C5476" s="5" t="s">
        <v>1019</v>
      </c>
      <c r="D5476" s="2" t="s">
        <v>1020</v>
      </c>
    </row>
    <row r="5477" spans="1:4" ht="13.05" customHeight="1" x14ac:dyDescent="0.3">
      <c r="A5477" s="2" t="s">
        <v>799</v>
      </c>
      <c r="B5477" s="2" t="s">
        <v>1199</v>
      </c>
      <c r="C5477" s="5" t="s">
        <v>1021</v>
      </c>
      <c r="D5477" s="2" t="s">
        <v>890</v>
      </c>
    </row>
    <row r="5478" spans="1:4" ht="13.05" customHeight="1" x14ac:dyDescent="0.3">
      <c r="A5478" s="2" t="s">
        <v>799</v>
      </c>
      <c r="B5478" s="2" t="s">
        <v>1199</v>
      </c>
      <c r="C5478" s="5" t="s">
        <v>1023</v>
      </c>
      <c r="D5478" s="2" t="s">
        <v>6137</v>
      </c>
    </row>
    <row r="5479" spans="1:4" ht="13.05" customHeight="1" x14ac:dyDescent="0.3">
      <c r="A5479" s="2" t="s">
        <v>799</v>
      </c>
      <c r="B5479" s="2" t="s">
        <v>1199</v>
      </c>
      <c r="C5479" s="5" t="s">
        <v>1025</v>
      </c>
      <c r="D5479" s="2" t="s">
        <v>6157</v>
      </c>
    </row>
    <row r="5480" spans="1:4" ht="13.05" customHeight="1" x14ac:dyDescent="0.3">
      <c r="A5480" s="2" t="s">
        <v>799</v>
      </c>
      <c r="B5480" s="2" t="s">
        <v>1199</v>
      </c>
      <c r="C5480" s="5" t="s">
        <v>1027</v>
      </c>
      <c r="D5480" s="2" t="s">
        <v>6117</v>
      </c>
    </row>
    <row r="5481" spans="1:4" ht="13.05" customHeight="1" x14ac:dyDescent="0.3">
      <c r="A5481" s="2" t="s">
        <v>799</v>
      </c>
      <c r="B5481" s="2" t="s">
        <v>1199</v>
      </c>
      <c r="C5481" s="5" t="s">
        <v>1029</v>
      </c>
      <c r="D5481" s="2" t="s">
        <v>6138</v>
      </c>
    </row>
    <row r="5482" spans="1:4" ht="13.05" customHeight="1" x14ac:dyDescent="0.3">
      <c r="A5482" s="2" t="s">
        <v>799</v>
      </c>
      <c r="B5482" s="2" t="s">
        <v>1199</v>
      </c>
      <c r="C5482" s="5" t="s">
        <v>1031</v>
      </c>
      <c r="D5482" s="2" t="s">
        <v>6139</v>
      </c>
    </row>
    <row r="5483" spans="1:4" ht="13.05" customHeight="1" x14ac:dyDescent="0.3">
      <c r="A5483" s="2" t="s">
        <v>799</v>
      </c>
      <c r="B5483" s="2" t="s">
        <v>1199</v>
      </c>
      <c r="C5483" s="5" t="s">
        <v>1040</v>
      </c>
      <c r="D5483" s="2" t="s">
        <v>6140</v>
      </c>
    </row>
    <row r="5484" spans="1:4" ht="13.05" customHeight="1" x14ac:dyDescent="0.3">
      <c r="A5484" s="2" t="s">
        <v>799</v>
      </c>
      <c r="B5484" s="2" t="s">
        <v>1199</v>
      </c>
      <c r="C5484" s="5" t="s">
        <v>1042</v>
      </c>
      <c r="D5484" s="2" t="s">
        <v>6141</v>
      </c>
    </row>
    <row r="5485" spans="1:4" ht="13.05" customHeight="1" x14ac:dyDescent="0.3">
      <c r="A5485" s="2" t="s">
        <v>799</v>
      </c>
      <c r="B5485" s="2" t="s">
        <v>1199</v>
      </c>
      <c r="C5485" s="5" t="s">
        <v>1061</v>
      </c>
      <c r="D5485" s="2" t="s">
        <v>6142</v>
      </c>
    </row>
    <row r="5486" spans="1:4" ht="13.05" customHeight="1" x14ac:dyDescent="0.3">
      <c r="A5486" s="2" t="s">
        <v>799</v>
      </c>
      <c r="B5486" s="2" t="s">
        <v>1199</v>
      </c>
      <c r="C5486" s="5" t="s">
        <v>1063</v>
      </c>
      <c r="D5486" s="2" t="s">
        <v>6143</v>
      </c>
    </row>
    <row r="5487" spans="1:4" ht="13.05" customHeight="1" x14ac:dyDescent="0.3">
      <c r="A5487" s="2" t="s">
        <v>799</v>
      </c>
      <c r="B5487" s="2" t="s">
        <v>1199</v>
      </c>
      <c r="C5487" s="5" t="s">
        <v>1065</v>
      </c>
      <c r="D5487" s="2" t="s">
        <v>6144</v>
      </c>
    </row>
    <row r="5488" spans="1:4" ht="13.05" customHeight="1" x14ac:dyDescent="0.3">
      <c r="A5488" s="2" t="s">
        <v>799</v>
      </c>
      <c r="B5488" s="2" t="s">
        <v>1199</v>
      </c>
      <c r="C5488" s="5" t="s">
        <v>1067</v>
      </c>
      <c r="D5488" s="2" t="s">
        <v>6124</v>
      </c>
    </row>
    <row r="5489" spans="1:4" ht="13.05" customHeight="1" x14ac:dyDescent="0.3">
      <c r="A5489" s="2" t="s">
        <v>799</v>
      </c>
      <c r="B5489" s="2" t="s">
        <v>1199</v>
      </c>
      <c r="C5489" s="5" t="s">
        <v>1069</v>
      </c>
      <c r="D5489" s="2" t="s">
        <v>6145</v>
      </c>
    </row>
    <row r="5490" spans="1:4" ht="13.05" customHeight="1" x14ac:dyDescent="0.3">
      <c r="A5490" s="2" t="s">
        <v>799</v>
      </c>
      <c r="B5490" s="2" t="s">
        <v>1199</v>
      </c>
      <c r="C5490" s="5" t="s">
        <v>1071</v>
      </c>
      <c r="D5490" s="2" t="s">
        <v>6126</v>
      </c>
    </row>
    <row r="5491" spans="1:4" ht="13.05" customHeight="1" x14ac:dyDescent="0.3">
      <c r="A5491" s="2" t="s">
        <v>799</v>
      </c>
      <c r="B5491" s="2" t="s">
        <v>1199</v>
      </c>
      <c r="C5491" s="5" t="s">
        <v>1073</v>
      </c>
      <c r="D5491" s="2" t="s">
        <v>6127</v>
      </c>
    </row>
    <row r="5492" spans="1:4" ht="13.05" customHeight="1" x14ac:dyDescent="0.3">
      <c r="A5492" s="2" t="s">
        <v>799</v>
      </c>
      <c r="B5492" s="2" t="s">
        <v>1199</v>
      </c>
      <c r="C5492" s="5" t="s">
        <v>1075</v>
      </c>
      <c r="D5492" s="2" t="s">
        <v>6128</v>
      </c>
    </row>
    <row r="5493" spans="1:4" ht="13.05" customHeight="1" x14ac:dyDescent="0.3">
      <c r="A5493" s="2" t="s">
        <v>799</v>
      </c>
      <c r="B5493" s="2" t="s">
        <v>1199</v>
      </c>
      <c r="C5493" s="5" t="s">
        <v>1077</v>
      </c>
      <c r="D5493" s="2" t="s">
        <v>6129</v>
      </c>
    </row>
    <row r="5494" spans="1:4" ht="13.05" customHeight="1" x14ac:dyDescent="0.3">
      <c r="A5494" s="2" t="s">
        <v>799</v>
      </c>
      <c r="B5494" s="2" t="s">
        <v>1199</v>
      </c>
      <c r="C5494" s="5" t="s">
        <v>1079</v>
      </c>
      <c r="D5494" s="2" t="s">
        <v>6130</v>
      </c>
    </row>
    <row r="5495" spans="1:4" ht="13.05" customHeight="1" x14ac:dyDescent="0.3">
      <c r="A5495" s="2" t="s">
        <v>799</v>
      </c>
      <c r="B5495" s="2" t="s">
        <v>1199</v>
      </c>
      <c r="C5495" s="5" t="s">
        <v>1081</v>
      </c>
      <c r="D5495" s="2" t="s">
        <v>6131</v>
      </c>
    </row>
    <row r="5496" spans="1:4" ht="13.05" customHeight="1" x14ac:dyDescent="0.3">
      <c r="A5496" s="2" t="s">
        <v>799</v>
      </c>
      <c r="B5496" s="2" t="s">
        <v>1199</v>
      </c>
      <c r="C5496" s="5" t="s">
        <v>1222</v>
      </c>
      <c r="D5496" s="2" t="s">
        <v>6132</v>
      </c>
    </row>
    <row r="5497" spans="1:4" ht="13.05" customHeight="1" x14ac:dyDescent="0.3">
      <c r="A5497" s="2" t="s">
        <v>799</v>
      </c>
      <c r="B5497" s="2" t="s">
        <v>1199</v>
      </c>
      <c r="C5497" s="5" t="s">
        <v>1052</v>
      </c>
      <c r="D5497" s="2" t="s">
        <v>1053</v>
      </c>
    </row>
    <row r="5498" spans="1:4" ht="13.05" customHeight="1" x14ac:dyDescent="0.3">
      <c r="A5498" s="2" t="s">
        <v>801</v>
      </c>
      <c r="B5498" s="2" t="s">
        <v>1199</v>
      </c>
      <c r="C5498" s="5" t="s">
        <v>1044</v>
      </c>
      <c r="D5498" s="2" t="s">
        <v>1045</v>
      </c>
    </row>
    <row r="5499" spans="1:4" ht="13.05" customHeight="1" x14ac:dyDescent="0.3">
      <c r="A5499" s="2" t="s">
        <v>801</v>
      </c>
      <c r="B5499" s="2" t="s">
        <v>1199</v>
      </c>
      <c r="C5499" s="5" t="s">
        <v>1015</v>
      </c>
      <c r="D5499" s="2" t="s">
        <v>1016</v>
      </c>
    </row>
    <row r="5500" spans="1:4" ht="13.05" customHeight="1" x14ac:dyDescent="0.3">
      <c r="A5500" s="2" t="s">
        <v>801</v>
      </c>
      <c r="B5500" s="2" t="s">
        <v>1199</v>
      </c>
      <c r="C5500" s="5" t="s">
        <v>1017</v>
      </c>
      <c r="D5500" s="2" t="s">
        <v>1018</v>
      </c>
    </row>
    <row r="5501" spans="1:4" ht="13.05" customHeight="1" x14ac:dyDescent="0.3">
      <c r="A5501" s="2" t="s">
        <v>801</v>
      </c>
      <c r="B5501" s="2" t="s">
        <v>1199</v>
      </c>
      <c r="C5501" s="5" t="s">
        <v>1019</v>
      </c>
      <c r="D5501" s="2" t="s">
        <v>1020</v>
      </c>
    </row>
    <row r="5502" spans="1:4" ht="13.05" customHeight="1" x14ac:dyDescent="0.3">
      <c r="A5502" s="2" t="s">
        <v>801</v>
      </c>
      <c r="B5502" s="2" t="s">
        <v>1199</v>
      </c>
      <c r="C5502" s="5" t="s">
        <v>1021</v>
      </c>
      <c r="D5502" s="2" t="s">
        <v>890</v>
      </c>
    </row>
    <row r="5503" spans="1:4" ht="13.05" customHeight="1" x14ac:dyDescent="0.3">
      <c r="A5503" s="2" t="s">
        <v>801</v>
      </c>
      <c r="B5503" s="2" t="s">
        <v>1199</v>
      </c>
      <c r="C5503" s="5" t="s">
        <v>1023</v>
      </c>
      <c r="D5503" s="2" t="s">
        <v>6137</v>
      </c>
    </row>
    <row r="5504" spans="1:4" ht="13.05" customHeight="1" x14ac:dyDescent="0.3">
      <c r="A5504" s="2" t="s">
        <v>801</v>
      </c>
      <c r="B5504" s="2" t="s">
        <v>1199</v>
      </c>
      <c r="C5504" s="5" t="s">
        <v>1025</v>
      </c>
      <c r="D5504" s="2" t="s">
        <v>6157</v>
      </c>
    </row>
    <row r="5505" spans="1:4" ht="13.05" customHeight="1" x14ac:dyDescent="0.3">
      <c r="A5505" s="2" t="s">
        <v>801</v>
      </c>
      <c r="B5505" s="2" t="s">
        <v>1199</v>
      </c>
      <c r="C5505" s="5" t="s">
        <v>1027</v>
      </c>
      <c r="D5505" s="2" t="s">
        <v>6117</v>
      </c>
    </row>
    <row r="5506" spans="1:4" ht="13.05" customHeight="1" x14ac:dyDescent="0.3">
      <c r="A5506" s="2" t="s">
        <v>801</v>
      </c>
      <c r="B5506" s="2" t="s">
        <v>1199</v>
      </c>
      <c r="C5506" s="5" t="s">
        <v>1029</v>
      </c>
      <c r="D5506" s="2" t="s">
        <v>6138</v>
      </c>
    </row>
    <row r="5507" spans="1:4" ht="13.05" customHeight="1" x14ac:dyDescent="0.3">
      <c r="A5507" s="2" t="s">
        <v>801</v>
      </c>
      <c r="B5507" s="2" t="s">
        <v>1199</v>
      </c>
      <c r="C5507" s="5" t="s">
        <v>1031</v>
      </c>
      <c r="D5507" s="2" t="s">
        <v>6139</v>
      </c>
    </row>
    <row r="5508" spans="1:4" ht="13.05" customHeight="1" x14ac:dyDescent="0.3">
      <c r="A5508" s="2" t="s">
        <v>801</v>
      </c>
      <c r="B5508" s="2" t="s">
        <v>1199</v>
      </c>
      <c r="C5508" s="5" t="s">
        <v>1040</v>
      </c>
      <c r="D5508" s="2" t="s">
        <v>6140</v>
      </c>
    </row>
    <row r="5509" spans="1:4" ht="13.05" customHeight="1" x14ac:dyDescent="0.3">
      <c r="A5509" s="2" t="s">
        <v>801</v>
      </c>
      <c r="B5509" s="2" t="s">
        <v>1199</v>
      </c>
      <c r="C5509" s="5" t="s">
        <v>1042</v>
      </c>
      <c r="D5509" s="2" t="s">
        <v>6141</v>
      </c>
    </row>
    <row r="5510" spans="1:4" ht="13.05" customHeight="1" x14ac:dyDescent="0.3">
      <c r="A5510" s="2" t="s">
        <v>801</v>
      </c>
      <c r="B5510" s="2" t="s">
        <v>1199</v>
      </c>
      <c r="C5510" s="5" t="s">
        <v>1061</v>
      </c>
      <c r="D5510" s="2" t="s">
        <v>6142</v>
      </c>
    </row>
    <row r="5511" spans="1:4" ht="13.05" customHeight="1" x14ac:dyDescent="0.3">
      <c r="A5511" s="2" t="s">
        <v>801</v>
      </c>
      <c r="B5511" s="2" t="s">
        <v>1199</v>
      </c>
      <c r="C5511" s="5" t="s">
        <v>1063</v>
      </c>
      <c r="D5511" s="2" t="s">
        <v>6143</v>
      </c>
    </row>
    <row r="5512" spans="1:4" ht="13.05" customHeight="1" x14ac:dyDescent="0.3">
      <c r="A5512" s="2" t="s">
        <v>801</v>
      </c>
      <c r="B5512" s="2" t="s">
        <v>1199</v>
      </c>
      <c r="C5512" s="5" t="s">
        <v>1065</v>
      </c>
      <c r="D5512" s="2" t="s">
        <v>6144</v>
      </c>
    </row>
    <row r="5513" spans="1:4" ht="13.05" customHeight="1" x14ac:dyDescent="0.3">
      <c r="A5513" s="2" t="s">
        <v>801</v>
      </c>
      <c r="B5513" s="2" t="s">
        <v>1199</v>
      </c>
      <c r="C5513" s="5" t="s">
        <v>1067</v>
      </c>
      <c r="D5513" s="2" t="s">
        <v>6124</v>
      </c>
    </row>
    <row r="5514" spans="1:4" ht="13.05" customHeight="1" x14ac:dyDescent="0.3">
      <c r="A5514" s="2" t="s">
        <v>801</v>
      </c>
      <c r="B5514" s="2" t="s">
        <v>1199</v>
      </c>
      <c r="C5514" s="5" t="s">
        <v>1069</v>
      </c>
      <c r="D5514" s="2" t="s">
        <v>6145</v>
      </c>
    </row>
    <row r="5515" spans="1:4" ht="13.05" customHeight="1" x14ac:dyDescent="0.3">
      <c r="A5515" s="2" t="s">
        <v>801</v>
      </c>
      <c r="B5515" s="2" t="s">
        <v>1199</v>
      </c>
      <c r="C5515" s="5" t="s">
        <v>1071</v>
      </c>
      <c r="D5515" s="2" t="s">
        <v>6126</v>
      </c>
    </row>
    <row r="5516" spans="1:4" ht="13.05" customHeight="1" x14ac:dyDescent="0.3">
      <c r="A5516" s="2" t="s">
        <v>801</v>
      </c>
      <c r="B5516" s="2" t="s">
        <v>1199</v>
      </c>
      <c r="C5516" s="5" t="s">
        <v>1073</v>
      </c>
      <c r="D5516" s="2" t="s">
        <v>6127</v>
      </c>
    </row>
    <row r="5517" spans="1:4" ht="13.05" customHeight="1" x14ac:dyDescent="0.3">
      <c r="A5517" s="2" t="s">
        <v>801</v>
      </c>
      <c r="B5517" s="2" t="s">
        <v>1199</v>
      </c>
      <c r="C5517" s="5" t="s">
        <v>1075</v>
      </c>
      <c r="D5517" s="2" t="s">
        <v>6128</v>
      </c>
    </row>
    <row r="5518" spans="1:4" ht="13.05" customHeight="1" x14ac:dyDescent="0.3">
      <c r="A5518" s="2" t="s">
        <v>801</v>
      </c>
      <c r="B5518" s="2" t="s">
        <v>1199</v>
      </c>
      <c r="C5518" s="5" t="s">
        <v>1077</v>
      </c>
      <c r="D5518" s="2" t="s">
        <v>6129</v>
      </c>
    </row>
    <row r="5519" spans="1:4" ht="13.05" customHeight="1" x14ac:dyDescent="0.3">
      <c r="A5519" s="2" t="s">
        <v>801</v>
      </c>
      <c r="B5519" s="2" t="s">
        <v>1199</v>
      </c>
      <c r="C5519" s="5" t="s">
        <v>1079</v>
      </c>
      <c r="D5519" s="2" t="s">
        <v>6130</v>
      </c>
    </row>
    <row r="5520" spans="1:4" ht="13.05" customHeight="1" x14ac:dyDescent="0.3">
      <c r="A5520" s="2" t="s">
        <v>801</v>
      </c>
      <c r="B5520" s="2" t="s">
        <v>1199</v>
      </c>
      <c r="C5520" s="5" t="s">
        <v>1081</v>
      </c>
      <c r="D5520" s="2" t="s">
        <v>6131</v>
      </c>
    </row>
    <row r="5521" spans="1:4" ht="13.05" customHeight="1" x14ac:dyDescent="0.3">
      <c r="A5521" s="2" t="s">
        <v>801</v>
      </c>
      <c r="B5521" s="2" t="s">
        <v>1199</v>
      </c>
      <c r="C5521" s="5" t="s">
        <v>1222</v>
      </c>
      <c r="D5521" s="2" t="s">
        <v>6132</v>
      </c>
    </row>
    <row r="5522" spans="1:4" ht="13.05" customHeight="1" x14ac:dyDescent="0.3">
      <c r="A5522" s="2" t="s">
        <v>801</v>
      </c>
      <c r="B5522" s="2" t="s">
        <v>1199</v>
      </c>
      <c r="C5522" s="5" t="s">
        <v>1052</v>
      </c>
      <c r="D5522" s="2" t="s">
        <v>1053</v>
      </c>
    </row>
    <row r="5523" spans="1:4" ht="13.05" customHeight="1" x14ac:dyDescent="0.3">
      <c r="A5523" s="2" t="s">
        <v>803</v>
      </c>
      <c r="B5523" s="2" t="s">
        <v>1199</v>
      </c>
      <c r="C5523" s="5" t="s">
        <v>1044</v>
      </c>
      <c r="D5523" s="2" t="s">
        <v>1045</v>
      </c>
    </row>
    <row r="5524" spans="1:4" ht="13.05" customHeight="1" x14ac:dyDescent="0.3">
      <c r="A5524" s="2" t="s">
        <v>803</v>
      </c>
      <c r="B5524" s="2" t="s">
        <v>1199</v>
      </c>
      <c r="C5524" s="5" t="s">
        <v>1015</v>
      </c>
      <c r="D5524" s="2" t="s">
        <v>1092</v>
      </c>
    </row>
    <row r="5525" spans="1:4" ht="13.05" customHeight="1" x14ac:dyDescent="0.3">
      <c r="A5525" s="2" t="s">
        <v>803</v>
      </c>
      <c r="B5525" s="2" t="s">
        <v>1199</v>
      </c>
      <c r="C5525" s="5" t="s">
        <v>1017</v>
      </c>
      <c r="D5525" s="2" t="s">
        <v>1086</v>
      </c>
    </row>
    <row r="5526" spans="1:4" ht="13.05" customHeight="1" x14ac:dyDescent="0.3">
      <c r="A5526" s="2" t="s">
        <v>803</v>
      </c>
      <c r="B5526" s="2" t="s">
        <v>1199</v>
      </c>
      <c r="C5526" s="5" t="s">
        <v>1019</v>
      </c>
      <c r="D5526" s="2" t="s">
        <v>1020</v>
      </c>
    </row>
    <row r="5527" spans="1:4" ht="13.05" customHeight="1" x14ac:dyDescent="0.3">
      <c r="A5527" s="2" t="s">
        <v>806</v>
      </c>
      <c r="B5527" s="2" t="s">
        <v>1033</v>
      </c>
      <c r="C5527" s="5" t="s">
        <v>1021</v>
      </c>
      <c r="D5527" s="2" t="s">
        <v>1106</v>
      </c>
    </row>
    <row r="5528" spans="1:4" ht="13.05" customHeight="1" x14ac:dyDescent="0.3">
      <c r="A5528" s="2" t="s">
        <v>806</v>
      </c>
      <c r="B5528" s="2" t="s">
        <v>1033</v>
      </c>
      <c r="C5528" s="5" t="s">
        <v>1023</v>
      </c>
      <c r="D5528" s="2" t="s">
        <v>1107</v>
      </c>
    </row>
    <row r="5529" spans="1:4" ht="13.05" customHeight="1" x14ac:dyDescent="0.3">
      <c r="A5529" s="2" t="s">
        <v>808</v>
      </c>
      <c r="B5529" s="2" t="s">
        <v>1199</v>
      </c>
      <c r="C5529" s="5" t="s">
        <v>1044</v>
      </c>
      <c r="D5529" s="2" t="s">
        <v>1045</v>
      </c>
    </row>
    <row r="5530" spans="1:4" ht="13.05" customHeight="1" x14ac:dyDescent="0.3">
      <c r="A5530" s="2" t="s">
        <v>808</v>
      </c>
      <c r="B5530" s="2" t="s">
        <v>1199</v>
      </c>
      <c r="C5530" s="5" t="s">
        <v>6158</v>
      </c>
      <c r="D5530" s="2" t="s">
        <v>6159</v>
      </c>
    </row>
    <row r="5531" spans="1:4" ht="13.05" customHeight="1" x14ac:dyDescent="0.3">
      <c r="A5531" s="2" t="s">
        <v>808</v>
      </c>
      <c r="B5531" s="2" t="s">
        <v>1199</v>
      </c>
      <c r="C5531" s="5" t="s">
        <v>6160</v>
      </c>
      <c r="D5531" s="2" t="s">
        <v>6161</v>
      </c>
    </row>
    <row r="5532" spans="1:4" ht="13.05" customHeight="1" x14ac:dyDescent="0.3">
      <c r="A5532" s="2" t="s">
        <v>808</v>
      </c>
      <c r="B5532" s="2" t="s">
        <v>1199</v>
      </c>
      <c r="C5532" s="5" t="s">
        <v>6162</v>
      </c>
      <c r="D5532" s="2" t="s">
        <v>6163</v>
      </c>
    </row>
    <row r="5533" spans="1:4" ht="13.05" customHeight="1" x14ac:dyDescent="0.3">
      <c r="A5533" s="2" t="s">
        <v>808</v>
      </c>
      <c r="B5533" s="2" t="s">
        <v>1199</v>
      </c>
      <c r="C5533" s="5" t="s">
        <v>6164</v>
      </c>
      <c r="D5533" s="2" t="s">
        <v>6165</v>
      </c>
    </row>
    <row r="5534" spans="1:4" ht="13.05" customHeight="1" x14ac:dyDescent="0.3">
      <c r="A5534" s="2" t="s">
        <v>808</v>
      </c>
      <c r="B5534" s="2" t="s">
        <v>1199</v>
      </c>
      <c r="C5534" s="5" t="s">
        <v>6166</v>
      </c>
      <c r="D5534" s="2" t="s">
        <v>6167</v>
      </c>
    </row>
    <row r="5535" spans="1:4" ht="13.05" customHeight="1" x14ac:dyDescent="0.3">
      <c r="A5535" s="2" t="s">
        <v>810</v>
      </c>
      <c r="B5535" s="2" t="s">
        <v>1199</v>
      </c>
      <c r="C5535" s="5" t="s">
        <v>1044</v>
      </c>
      <c r="D5535" s="2" t="s">
        <v>1045</v>
      </c>
    </row>
    <row r="5536" spans="1:4" ht="13.05" customHeight="1" x14ac:dyDescent="0.3">
      <c r="A5536" s="2" t="s">
        <v>812</v>
      </c>
      <c r="B5536" s="2" t="s">
        <v>1199</v>
      </c>
      <c r="C5536" s="5" t="s">
        <v>1044</v>
      </c>
      <c r="D5536" s="2" t="s">
        <v>1045</v>
      </c>
    </row>
    <row r="5537" spans="1:4" ht="13.05" customHeight="1" x14ac:dyDescent="0.3">
      <c r="A5537" s="2" t="s">
        <v>814</v>
      </c>
      <c r="B5537" s="2" t="s">
        <v>1199</v>
      </c>
      <c r="C5537" s="5" t="s">
        <v>1021</v>
      </c>
      <c r="D5537" s="2" t="s">
        <v>1106</v>
      </c>
    </row>
    <row r="5538" spans="1:4" ht="13.05" customHeight="1" x14ac:dyDescent="0.3">
      <c r="A5538" s="2" t="s">
        <v>814</v>
      </c>
      <c r="B5538" s="2" t="s">
        <v>1199</v>
      </c>
      <c r="C5538" s="5" t="s">
        <v>1023</v>
      </c>
      <c r="D5538" s="2" t="s">
        <v>1107</v>
      </c>
    </row>
    <row r="5539" spans="1:4" ht="13.05" customHeight="1" x14ac:dyDescent="0.3">
      <c r="A5539" s="2" t="s">
        <v>816</v>
      </c>
      <c r="B5539" s="2" t="s">
        <v>1199</v>
      </c>
      <c r="C5539" s="5" t="s">
        <v>1044</v>
      </c>
      <c r="D5539" s="2" t="s">
        <v>1045</v>
      </c>
    </row>
    <row r="5540" spans="1:4" ht="13.05" customHeight="1" x14ac:dyDescent="0.3">
      <c r="A5540" s="2" t="s">
        <v>820</v>
      </c>
      <c r="B5540" s="2" t="s">
        <v>1199</v>
      </c>
      <c r="C5540" s="5" t="s">
        <v>1015</v>
      </c>
      <c r="D5540" s="2" t="s">
        <v>1092</v>
      </c>
    </row>
    <row r="5541" spans="1:4" ht="13.05" customHeight="1" x14ac:dyDescent="0.3">
      <c r="A5541" s="2" t="s">
        <v>820</v>
      </c>
      <c r="B5541" s="2" t="s">
        <v>1199</v>
      </c>
      <c r="C5541" s="5" t="s">
        <v>1017</v>
      </c>
      <c r="D5541" s="2" t="s">
        <v>1086</v>
      </c>
    </row>
    <row r="5542" spans="1:4" ht="13.05" customHeight="1" x14ac:dyDescent="0.3">
      <c r="A5542" s="2" t="s">
        <v>820</v>
      </c>
      <c r="B5542" s="2" t="s">
        <v>1199</v>
      </c>
      <c r="C5542" s="5" t="s">
        <v>1021</v>
      </c>
      <c r="D5542" s="2" t="s">
        <v>1106</v>
      </c>
    </row>
    <row r="5543" spans="1:4" ht="13.05" customHeight="1" x14ac:dyDescent="0.3">
      <c r="A5543" s="2" t="s">
        <v>820</v>
      </c>
      <c r="B5543" s="2" t="s">
        <v>1199</v>
      </c>
      <c r="C5543" s="5" t="s">
        <v>1023</v>
      </c>
      <c r="D5543" s="2" t="s">
        <v>1107</v>
      </c>
    </row>
    <row r="5544" spans="1:4" ht="13.05" customHeight="1" x14ac:dyDescent="0.3">
      <c r="A5544" s="2" t="s">
        <v>823</v>
      </c>
      <c r="B5544" s="2" t="s">
        <v>1199</v>
      </c>
      <c r="C5544" s="5" t="s">
        <v>1044</v>
      </c>
      <c r="D5544" s="2" t="s">
        <v>1045</v>
      </c>
    </row>
    <row r="5545" spans="1:4" ht="13.05" customHeight="1" x14ac:dyDescent="0.3">
      <c r="A5545" s="2" t="s">
        <v>823</v>
      </c>
      <c r="B5545" s="2" t="s">
        <v>1199</v>
      </c>
      <c r="C5545" s="5" t="s">
        <v>1015</v>
      </c>
      <c r="D5545" s="2" t="s">
        <v>1016</v>
      </c>
    </row>
    <row r="5546" spans="1:4" ht="13.05" customHeight="1" x14ac:dyDescent="0.3">
      <c r="A5546" s="2" t="s">
        <v>823</v>
      </c>
      <c r="B5546" s="2" t="s">
        <v>1199</v>
      </c>
      <c r="C5546" s="5" t="s">
        <v>1017</v>
      </c>
      <c r="D5546" s="2" t="s">
        <v>1018</v>
      </c>
    </row>
    <row r="5547" spans="1:4" ht="13.05" customHeight="1" x14ac:dyDescent="0.3">
      <c r="A5547" s="2" t="s">
        <v>823</v>
      </c>
      <c r="B5547" s="2" t="s">
        <v>1199</v>
      </c>
      <c r="C5547" s="5" t="s">
        <v>1019</v>
      </c>
      <c r="D5547" s="2" t="s">
        <v>1020</v>
      </c>
    </row>
    <row r="5548" spans="1:4" ht="13.05" customHeight="1" x14ac:dyDescent="0.3">
      <c r="A5548" s="2" t="s">
        <v>823</v>
      </c>
      <c r="B5548" s="2" t="s">
        <v>1199</v>
      </c>
      <c r="C5548" s="5" t="s">
        <v>1021</v>
      </c>
      <c r="D5548" s="2" t="s">
        <v>890</v>
      </c>
    </row>
    <row r="5549" spans="1:4" ht="13.05" customHeight="1" x14ac:dyDescent="0.3">
      <c r="A5549" s="2" t="s">
        <v>823</v>
      </c>
      <c r="B5549" s="2" t="s">
        <v>1199</v>
      </c>
      <c r="C5549" s="5" t="s">
        <v>1023</v>
      </c>
      <c r="D5549" s="2" t="s">
        <v>1049</v>
      </c>
    </row>
    <row r="5550" spans="1:4" ht="13.05" customHeight="1" x14ac:dyDescent="0.3">
      <c r="A5550" s="2" t="s">
        <v>823</v>
      </c>
      <c r="B5550" s="2" t="s">
        <v>1199</v>
      </c>
      <c r="C5550" s="5" t="s">
        <v>1025</v>
      </c>
      <c r="D5550" s="2" t="s">
        <v>6157</v>
      </c>
    </row>
    <row r="5551" spans="1:4" ht="13.05" customHeight="1" x14ac:dyDescent="0.3">
      <c r="A5551" s="2" t="s">
        <v>823</v>
      </c>
      <c r="B5551" s="2" t="s">
        <v>1199</v>
      </c>
      <c r="C5551" s="5" t="s">
        <v>1027</v>
      </c>
      <c r="D5551" s="2" t="s">
        <v>6117</v>
      </c>
    </row>
    <row r="5552" spans="1:4" ht="13.05" customHeight="1" x14ac:dyDescent="0.3">
      <c r="A5552" s="2" t="s">
        <v>823</v>
      </c>
      <c r="B5552" s="2" t="s">
        <v>1199</v>
      </c>
      <c r="C5552" s="5" t="s">
        <v>1029</v>
      </c>
      <c r="D5552" s="2" t="s">
        <v>4570</v>
      </c>
    </row>
    <row r="5553" spans="1:4" ht="13.05" customHeight="1" x14ac:dyDescent="0.3">
      <c r="A5553" s="2" t="s">
        <v>823</v>
      </c>
      <c r="B5553" s="2" t="s">
        <v>1199</v>
      </c>
      <c r="C5553" s="5" t="s">
        <v>1031</v>
      </c>
      <c r="D5553" s="2" t="s">
        <v>6118</v>
      </c>
    </row>
    <row r="5554" spans="1:4" ht="13.05" customHeight="1" x14ac:dyDescent="0.3">
      <c r="A5554" s="2" t="s">
        <v>823</v>
      </c>
      <c r="B5554" s="2" t="s">
        <v>1199</v>
      </c>
      <c r="C5554" s="5" t="s">
        <v>1040</v>
      </c>
      <c r="D5554" s="2" t="s">
        <v>6140</v>
      </c>
    </row>
    <row r="5555" spans="1:4" ht="13.05" customHeight="1" x14ac:dyDescent="0.3">
      <c r="A5555" s="2" t="s">
        <v>823</v>
      </c>
      <c r="B5555" s="2" t="s">
        <v>1199</v>
      </c>
      <c r="C5555" s="5" t="s">
        <v>1042</v>
      </c>
      <c r="D5555" s="2" t="s">
        <v>6120</v>
      </c>
    </row>
    <row r="5556" spans="1:4" ht="13.05" customHeight="1" x14ac:dyDescent="0.3">
      <c r="A5556" s="2" t="s">
        <v>823</v>
      </c>
      <c r="B5556" s="2" t="s">
        <v>1199</v>
      </c>
      <c r="C5556" s="5" t="s">
        <v>1061</v>
      </c>
      <c r="D5556" s="2" t="s">
        <v>6121</v>
      </c>
    </row>
    <row r="5557" spans="1:4" ht="13.05" customHeight="1" x14ac:dyDescent="0.3">
      <c r="A5557" s="2" t="s">
        <v>823</v>
      </c>
      <c r="B5557" s="2" t="s">
        <v>1199</v>
      </c>
      <c r="C5557" s="5" t="s">
        <v>1063</v>
      </c>
      <c r="D5557" s="2" t="s">
        <v>6122</v>
      </c>
    </row>
    <row r="5558" spans="1:4" ht="13.05" customHeight="1" x14ac:dyDescent="0.3">
      <c r="A5558" s="2" t="s">
        <v>823</v>
      </c>
      <c r="B5558" s="2" t="s">
        <v>1199</v>
      </c>
      <c r="C5558" s="5" t="s">
        <v>1065</v>
      </c>
      <c r="D5558" s="2" t="s">
        <v>6144</v>
      </c>
    </row>
    <row r="5559" spans="1:4" ht="13.05" customHeight="1" x14ac:dyDescent="0.3">
      <c r="A5559" s="2" t="s">
        <v>823</v>
      </c>
      <c r="B5559" s="2" t="s">
        <v>1199</v>
      </c>
      <c r="C5559" s="5" t="s">
        <v>1067</v>
      </c>
      <c r="D5559" s="2" t="s">
        <v>6168</v>
      </c>
    </row>
    <row r="5560" spans="1:4" ht="13.05" customHeight="1" x14ac:dyDescent="0.3">
      <c r="A5560" s="2" t="s">
        <v>823</v>
      </c>
      <c r="B5560" s="2" t="s">
        <v>1199</v>
      </c>
      <c r="C5560" s="5" t="s">
        <v>1069</v>
      </c>
      <c r="D5560" s="2" t="s">
        <v>6125</v>
      </c>
    </row>
    <row r="5561" spans="1:4" ht="13.05" customHeight="1" x14ac:dyDescent="0.3">
      <c r="A5561" s="2" t="s">
        <v>823</v>
      </c>
      <c r="B5561" s="2" t="s">
        <v>1199</v>
      </c>
      <c r="C5561" s="5" t="s">
        <v>1071</v>
      </c>
      <c r="D5561" s="2" t="s">
        <v>6126</v>
      </c>
    </row>
    <row r="5562" spans="1:4" ht="13.05" customHeight="1" x14ac:dyDescent="0.3">
      <c r="A5562" s="2" t="s">
        <v>823</v>
      </c>
      <c r="B5562" s="2" t="s">
        <v>1199</v>
      </c>
      <c r="C5562" s="5" t="s">
        <v>1073</v>
      </c>
      <c r="D5562" s="2" t="s">
        <v>6127</v>
      </c>
    </row>
    <row r="5563" spans="1:4" ht="13.05" customHeight="1" x14ac:dyDescent="0.3">
      <c r="A5563" s="2" t="s">
        <v>823</v>
      </c>
      <c r="B5563" s="2" t="s">
        <v>1199</v>
      </c>
      <c r="C5563" s="5" t="s">
        <v>1075</v>
      </c>
      <c r="D5563" s="2" t="s">
        <v>6169</v>
      </c>
    </row>
    <row r="5564" spans="1:4" ht="13.05" customHeight="1" x14ac:dyDescent="0.3">
      <c r="A5564" s="2" t="s">
        <v>823</v>
      </c>
      <c r="B5564" s="2" t="s">
        <v>1199</v>
      </c>
      <c r="C5564" s="5" t="s">
        <v>1077</v>
      </c>
      <c r="D5564" s="2" t="s">
        <v>6170</v>
      </c>
    </row>
    <row r="5565" spans="1:4" ht="13.05" customHeight="1" x14ac:dyDescent="0.3">
      <c r="A5565" s="2" t="s">
        <v>823</v>
      </c>
      <c r="B5565" s="2" t="s">
        <v>1199</v>
      </c>
      <c r="C5565" s="5" t="s">
        <v>1079</v>
      </c>
      <c r="D5565" s="2" t="s">
        <v>6130</v>
      </c>
    </row>
    <row r="5566" spans="1:4" ht="13.05" customHeight="1" x14ac:dyDescent="0.3">
      <c r="A5566" s="2" t="s">
        <v>823</v>
      </c>
      <c r="B5566" s="2" t="s">
        <v>1199</v>
      </c>
      <c r="C5566" s="5" t="s">
        <v>1081</v>
      </c>
      <c r="D5566" s="2" t="s">
        <v>6148</v>
      </c>
    </row>
    <row r="5567" spans="1:4" ht="13.05" customHeight="1" x14ac:dyDescent="0.3">
      <c r="A5567" s="2" t="s">
        <v>823</v>
      </c>
      <c r="B5567" s="2" t="s">
        <v>1199</v>
      </c>
      <c r="C5567" s="5" t="s">
        <v>1222</v>
      </c>
      <c r="D5567" s="2" t="s">
        <v>6171</v>
      </c>
    </row>
    <row r="5568" spans="1:4" ht="13.05" customHeight="1" x14ac:dyDescent="0.3">
      <c r="A5568" s="2" t="s">
        <v>823</v>
      </c>
      <c r="B5568" s="2" t="s">
        <v>1199</v>
      </c>
      <c r="C5568" s="5" t="s">
        <v>1052</v>
      </c>
      <c r="D5568" s="2" t="s">
        <v>6149</v>
      </c>
    </row>
    <row r="5569" spans="1:4" ht="13.05" customHeight="1" x14ac:dyDescent="0.3">
      <c r="A5569" s="2" t="s">
        <v>825</v>
      </c>
      <c r="B5569" s="2" t="s">
        <v>1199</v>
      </c>
      <c r="C5569" s="5" t="s">
        <v>1015</v>
      </c>
      <c r="D5569" s="2" t="s">
        <v>1016</v>
      </c>
    </row>
    <row r="5570" spans="1:4" ht="13.05" customHeight="1" x14ac:dyDescent="0.3">
      <c r="A5570" s="2" t="s">
        <v>825</v>
      </c>
      <c r="B5570" s="2" t="s">
        <v>1199</v>
      </c>
      <c r="C5570" s="5" t="s">
        <v>1017</v>
      </c>
      <c r="D5570" s="2" t="s">
        <v>1018</v>
      </c>
    </row>
    <row r="5571" spans="1:4" ht="13.05" customHeight="1" x14ac:dyDescent="0.3">
      <c r="A5571" s="2" t="s">
        <v>825</v>
      </c>
      <c r="B5571" s="2" t="s">
        <v>1199</v>
      </c>
      <c r="C5571" s="5" t="s">
        <v>1021</v>
      </c>
      <c r="D5571" s="2" t="s">
        <v>890</v>
      </c>
    </row>
    <row r="5572" spans="1:4" ht="13.05" customHeight="1" x14ac:dyDescent="0.3">
      <c r="A5572" s="2" t="s">
        <v>825</v>
      </c>
      <c r="B5572" s="2" t="s">
        <v>1199</v>
      </c>
      <c r="C5572" s="5" t="s">
        <v>1023</v>
      </c>
      <c r="D5572" s="2" t="s">
        <v>1049</v>
      </c>
    </row>
    <row r="5573" spans="1:4" ht="13.05" customHeight="1" x14ac:dyDescent="0.3">
      <c r="A5573" s="2" t="s">
        <v>825</v>
      </c>
      <c r="B5573" s="2" t="s">
        <v>1199</v>
      </c>
      <c r="C5573" s="5" t="s">
        <v>1025</v>
      </c>
      <c r="D5573" s="2" t="s">
        <v>6157</v>
      </c>
    </row>
    <row r="5574" spans="1:4" ht="13.05" customHeight="1" x14ac:dyDescent="0.3">
      <c r="A5574" s="2" t="s">
        <v>825</v>
      </c>
      <c r="B5574" s="2" t="s">
        <v>1199</v>
      </c>
      <c r="C5574" s="5" t="s">
        <v>1027</v>
      </c>
      <c r="D5574" s="2" t="s">
        <v>6117</v>
      </c>
    </row>
    <row r="5575" spans="1:4" ht="13.05" customHeight="1" x14ac:dyDescent="0.3">
      <c r="A5575" s="2" t="s">
        <v>825</v>
      </c>
      <c r="B5575" s="2" t="s">
        <v>1199</v>
      </c>
      <c r="C5575" s="5" t="s">
        <v>1029</v>
      </c>
      <c r="D5575" s="2" t="s">
        <v>4570</v>
      </c>
    </row>
    <row r="5576" spans="1:4" ht="13.05" customHeight="1" x14ac:dyDescent="0.3">
      <c r="A5576" s="2" t="s">
        <v>825</v>
      </c>
      <c r="B5576" s="2" t="s">
        <v>1199</v>
      </c>
      <c r="C5576" s="5" t="s">
        <v>1031</v>
      </c>
      <c r="D5576" s="2" t="s">
        <v>6118</v>
      </c>
    </row>
    <row r="5577" spans="1:4" ht="13.05" customHeight="1" x14ac:dyDescent="0.3">
      <c r="A5577" s="2" t="s">
        <v>825</v>
      </c>
      <c r="B5577" s="2" t="s">
        <v>1199</v>
      </c>
      <c r="C5577" s="5" t="s">
        <v>1040</v>
      </c>
      <c r="D5577" s="2" t="s">
        <v>6140</v>
      </c>
    </row>
    <row r="5578" spans="1:4" ht="13.05" customHeight="1" x14ac:dyDescent="0.3">
      <c r="A5578" s="2" t="s">
        <v>825</v>
      </c>
      <c r="B5578" s="2" t="s">
        <v>1199</v>
      </c>
      <c r="C5578" s="5" t="s">
        <v>1042</v>
      </c>
      <c r="D5578" s="2" t="s">
        <v>6120</v>
      </c>
    </row>
    <row r="5579" spans="1:4" ht="13.05" customHeight="1" x14ac:dyDescent="0.3">
      <c r="A5579" s="2" t="s">
        <v>825</v>
      </c>
      <c r="B5579" s="2" t="s">
        <v>1199</v>
      </c>
      <c r="C5579" s="5" t="s">
        <v>1061</v>
      </c>
      <c r="D5579" s="2" t="s">
        <v>6121</v>
      </c>
    </row>
    <row r="5580" spans="1:4" ht="13.05" customHeight="1" x14ac:dyDescent="0.3">
      <c r="A5580" s="2" t="s">
        <v>825</v>
      </c>
      <c r="B5580" s="2" t="s">
        <v>1199</v>
      </c>
      <c r="C5580" s="5" t="s">
        <v>1063</v>
      </c>
      <c r="D5580" s="2" t="s">
        <v>6122</v>
      </c>
    </row>
    <row r="5581" spans="1:4" ht="13.05" customHeight="1" x14ac:dyDescent="0.3">
      <c r="A5581" s="2" t="s">
        <v>825</v>
      </c>
      <c r="B5581" s="2" t="s">
        <v>1199</v>
      </c>
      <c r="C5581" s="5" t="s">
        <v>1065</v>
      </c>
      <c r="D5581" s="2" t="s">
        <v>6144</v>
      </c>
    </row>
    <row r="5582" spans="1:4" ht="13.05" customHeight="1" x14ac:dyDescent="0.3">
      <c r="A5582" s="2" t="s">
        <v>825</v>
      </c>
      <c r="B5582" s="2" t="s">
        <v>1199</v>
      </c>
      <c r="C5582" s="5" t="s">
        <v>1067</v>
      </c>
      <c r="D5582" s="2" t="s">
        <v>6168</v>
      </c>
    </row>
    <row r="5583" spans="1:4" ht="13.05" customHeight="1" x14ac:dyDescent="0.3">
      <c r="A5583" s="2" t="s">
        <v>825</v>
      </c>
      <c r="B5583" s="2" t="s">
        <v>1199</v>
      </c>
      <c r="C5583" s="5" t="s">
        <v>1069</v>
      </c>
      <c r="D5583" s="2" t="s">
        <v>6125</v>
      </c>
    </row>
    <row r="5584" spans="1:4" ht="13.05" customHeight="1" x14ac:dyDescent="0.3">
      <c r="A5584" s="2" t="s">
        <v>825</v>
      </c>
      <c r="B5584" s="2" t="s">
        <v>1199</v>
      </c>
      <c r="C5584" s="5" t="s">
        <v>1071</v>
      </c>
      <c r="D5584" s="2" t="s">
        <v>6126</v>
      </c>
    </row>
    <row r="5585" spans="1:4" ht="13.05" customHeight="1" x14ac:dyDescent="0.3">
      <c r="A5585" s="2" t="s">
        <v>825</v>
      </c>
      <c r="B5585" s="2" t="s">
        <v>1199</v>
      </c>
      <c r="C5585" s="5" t="s">
        <v>1073</v>
      </c>
      <c r="D5585" s="2" t="s">
        <v>6127</v>
      </c>
    </row>
    <row r="5586" spans="1:4" ht="13.05" customHeight="1" x14ac:dyDescent="0.3">
      <c r="A5586" s="2" t="s">
        <v>825</v>
      </c>
      <c r="B5586" s="2" t="s">
        <v>1199</v>
      </c>
      <c r="C5586" s="5" t="s">
        <v>1075</v>
      </c>
      <c r="D5586" s="2" t="s">
        <v>6169</v>
      </c>
    </row>
    <row r="5587" spans="1:4" ht="13.05" customHeight="1" x14ac:dyDescent="0.3">
      <c r="A5587" s="2" t="s">
        <v>825</v>
      </c>
      <c r="B5587" s="2" t="s">
        <v>1199</v>
      </c>
      <c r="C5587" s="5" t="s">
        <v>1077</v>
      </c>
      <c r="D5587" s="2" t="s">
        <v>6170</v>
      </c>
    </row>
    <row r="5588" spans="1:4" ht="13.05" customHeight="1" x14ac:dyDescent="0.3">
      <c r="A5588" s="2" t="s">
        <v>825</v>
      </c>
      <c r="B5588" s="2" t="s">
        <v>1199</v>
      </c>
      <c r="C5588" s="5" t="s">
        <v>1079</v>
      </c>
      <c r="D5588" s="2" t="s">
        <v>6130</v>
      </c>
    </row>
    <row r="5589" spans="1:4" ht="13.05" customHeight="1" x14ac:dyDescent="0.3">
      <c r="A5589" s="2" t="s">
        <v>825</v>
      </c>
      <c r="B5589" s="2" t="s">
        <v>1199</v>
      </c>
      <c r="C5589" s="5" t="s">
        <v>1081</v>
      </c>
      <c r="D5589" s="2" t="s">
        <v>6148</v>
      </c>
    </row>
    <row r="5590" spans="1:4" ht="13.05" customHeight="1" x14ac:dyDescent="0.3">
      <c r="A5590" s="2" t="s">
        <v>825</v>
      </c>
      <c r="B5590" s="2" t="s">
        <v>1199</v>
      </c>
      <c r="C5590" s="5" t="s">
        <v>1222</v>
      </c>
      <c r="D5590" s="2" t="s">
        <v>6171</v>
      </c>
    </row>
    <row r="5591" spans="1:4" ht="13.05" customHeight="1" x14ac:dyDescent="0.3">
      <c r="A5591" s="2" t="s">
        <v>825</v>
      </c>
      <c r="B5591" s="2" t="s">
        <v>1199</v>
      </c>
      <c r="C5591" s="5" t="s">
        <v>1052</v>
      </c>
      <c r="D5591" s="2" t="s">
        <v>6149</v>
      </c>
    </row>
    <row r="5592" spans="1:4" ht="13.05" customHeight="1" x14ac:dyDescent="0.3">
      <c r="A5592" s="2" t="s">
        <v>828</v>
      </c>
      <c r="B5592" s="2" t="s">
        <v>1199</v>
      </c>
      <c r="C5592" s="5" t="s">
        <v>1044</v>
      </c>
      <c r="D5592" s="2" t="s">
        <v>1045</v>
      </c>
    </row>
    <row r="5593" spans="1:4" ht="13.05" customHeight="1" x14ac:dyDescent="0.3">
      <c r="A5593" s="2" t="s">
        <v>828</v>
      </c>
      <c r="B5593" s="2" t="s">
        <v>1199</v>
      </c>
      <c r="C5593" s="5" t="s">
        <v>1019</v>
      </c>
      <c r="D5593" s="2" t="s">
        <v>1020</v>
      </c>
    </row>
    <row r="5594" spans="1:4" ht="13.05" customHeight="1" x14ac:dyDescent="0.3">
      <c r="A5594" s="2" t="s">
        <v>831</v>
      </c>
      <c r="B5594" s="2" t="s">
        <v>1199</v>
      </c>
      <c r="C5594" s="5" t="s">
        <v>1044</v>
      </c>
      <c r="D5594" s="2" t="s">
        <v>1045</v>
      </c>
    </row>
    <row r="5595" spans="1:4" ht="13.05" customHeight="1" x14ac:dyDescent="0.3">
      <c r="A5595" s="2" t="s">
        <v>831</v>
      </c>
      <c r="B5595" s="2" t="s">
        <v>1199</v>
      </c>
      <c r="C5595" s="5" t="s">
        <v>1019</v>
      </c>
      <c r="D5595" s="2" t="s">
        <v>1020</v>
      </c>
    </row>
    <row r="5596" spans="1:4" ht="13.05" customHeight="1" x14ac:dyDescent="0.3">
      <c r="A5596" s="2" t="s">
        <v>833</v>
      </c>
      <c r="B5596" s="2" t="s">
        <v>1199</v>
      </c>
      <c r="C5596" s="5" t="s">
        <v>1044</v>
      </c>
      <c r="D5596" s="2" t="s">
        <v>1045</v>
      </c>
    </row>
    <row r="5597" spans="1:4" ht="13.05" customHeight="1" x14ac:dyDescent="0.3">
      <c r="A5597" s="2" t="s">
        <v>833</v>
      </c>
      <c r="B5597" s="2" t="s">
        <v>1199</v>
      </c>
      <c r="C5597" s="5" t="s">
        <v>1015</v>
      </c>
      <c r="D5597" s="2" t="s">
        <v>1092</v>
      </c>
    </row>
    <row r="5598" spans="1:4" ht="13.05" customHeight="1" x14ac:dyDescent="0.3">
      <c r="A5598" s="2" t="s">
        <v>833</v>
      </c>
      <c r="B5598" s="2" t="s">
        <v>1199</v>
      </c>
      <c r="C5598" s="5" t="s">
        <v>1017</v>
      </c>
      <c r="D5598" s="2" t="s">
        <v>1086</v>
      </c>
    </row>
    <row r="5599" spans="1:4" ht="13.05" customHeight="1" x14ac:dyDescent="0.3">
      <c r="A5599" s="2" t="s">
        <v>833</v>
      </c>
      <c r="B5599" s="2" t="s">
        <v>1199</v>
      </c>
      <c r="C5599" s="5" t="s">
        <v>1019</v>
      </c>
      <c r="D5599" s="2" t="s">
        <v>1020</v>
      </c>
    </row>
    <row r="5600" spans="1:4" ht="13.05" customHeight="1" x14ac:dyDescent="0.3">
      <c r="A5600" s="2" t="s">
        <v>836</v>
      </c>
      <c r="B5600" s="2" t="s">
        <v>1033</v>
      </c>
      <c r="C5600" s="5" t="s">
        <v>1044</v>
      </c>
      <c r="D5600" s="2" t="s">
        <v>1045</v>
      </c>
    </row>
    <row r="5601" spans="1:4" ht="13.05" customHeight="1" x14ac:dyDescent="0.3">
      <c r="A5601" s="2" t="s">
        <v>836</v>
      </c>
      <c r="B5601" s="2" t="s">
        <v>1033</v>
      </c>
      <c r="C5601" s="5" t="s">
        <v>1021</v>
      </c>
      <c r="D5601" s="2" t="s">
        <v>6172</v>
      </c>
    </row>
    <row r="5602" spans="1:4" ht="13.05" customHeight="1" x14ac:dyDescent="0.3">
      <c r="A5602" s="2" t="s">
        <v>836</v>
      </c>
      <c r="B5602" s="2" t="s">
        <v>1033</v>
      </c>
      <c r="C5602" s="5" t="s">
        <v>1023</v>
      </c>
      <c r="D5602" s="2" t="s">
        <v>6173</v>
      </c>
    </row>
    <row r="5603" spans="1:4" ht="13.05" customHeight="1" x14ac:dyDescent="0.3">
      <c r="A5603" s="2" t="s">
        <v>836</v>
      </c>
      <c r="B5603" s="2" t="s">
        <v>1033</v>
      </c>
      <c r="C5603" s="5" t="s">
        <v>1025</v>
      </c>
      <c r="D5603" s="2" t="s">
        <v>6174</v>
      </c>
    </row>
    <row r="5604" spans="1:4" ht="13.05" customHeight="1" x14ac:dyDescent="0.3">
      <c r="A5604" s="2" t="s">
        <v>836</v>
      </c>
      <c r="B5604" s="2" t="s">
        <v>1033</v>
      </c>
      <c r="C5604" s="5" t="s">
        <v>1027</v>
      </c>
      <c r="D5604" s="2" t="s">
        <v>6175</v>
      </c>
    </row>
    <row r="5605" spans="1:4" ht="13.05" customHeight="1" x14ac:dyDescent="0.3">
      <c r="A5605" s="2" t="s">
        <v>838</v>
      </c>
      <c r="B5605" s="2" t="s">
        <v>1033</v>
      </c>
      <c r="C5605" s="5" t="s">
        <v>1044</v>
      </c>
      <c r="D5605" s="2" t="s">
        <v>1045</v>
      </c>
    </row>
    <row r="5606" spans="1:4" ht="13.05" customHeight="1" x14ac:dyDescent="0.3">
      <c r="A5606" s="2" t="s">
        <v>838</v>
      </c>
      <c r="B5606" s="2" t="s">
        <v>1033</v>
      </c>
      <c r="C5606" s="5" t="s">
        <v>1021</v>
      </c>
      <c r="D5606" s="2" t="s">
        <v>6176</v>
      </c>
    </row>
    <row r="5607" spans="1:4" ht="13.05" customHeight="1" x14ac:dyDescent="0.3">
      <c r="A5607" s="2" t="s">
        <v>838</v>
      </c>
      <c r="B5607" s="2" t="s">
        <v>1033</v>
      </c>
      <c r="C5607" s="5" t="s">
        <v>1023</v>
      </c>
      <c r="D5607" s="2" t="s">
        <v>6177</v>
      </c>
    </row>
    <row r="5608" spans="1:4" ht="13.05" customHeight="1" x14ac:dyDescent="0.3">
      <c r="A5608" s="2" t="s">
        <v>838</v>
      </c>
      <c r="B5608" s="2" t="s">
        <v>1033</v>
      </c>
      <c r="C5608" s="5" t="s">
        <v>1025</v>
      </c>
      <c r="D5608" s="2" t="s">
        <v>6178</v>
      </c>
    </row>
    <row r="5609" spans="1:4" ht="13.05" customHeight="1" x14ac:dyDescent="0.3">
      <c r="A5609" s="2" t="s">
        <v>838</v>
      </c>
      <c r="B5609" s="2" t="s">
        <v>1033</v>
      </c>
      <c r="C5609" s="5" t="s">
        <v>1027</v>
      </c>
      <c r="D5609" s="2" t="s">
        <v>6179</v>
      </c>
    </row>
    <row r="5610" spans="1:4" ht="13.05" customHeight="1" x14ac:dyDescent="0.3">
      <c r="A5610" s="2" t="s">
        <v>838</v>
      </c>
      <c r="B5610" s="2" t="s">
        <v>1033</v>
      </c>
      <c r="C5610" s="5" t="s">
        <v>1029</v>
      </c>
      <c r="D5610" s="2" t="s">
        <v>6180</v>
      </c>
    </row>
    <row r="5611" spans="1:4" ht="13.05" customHeight="1" x14ac:dyDescent="0.3">
      <c r="A5611" s="2" t="s">
        <v>838</v>
      </c>
      <c r="B5611" s="2" t="s">
        <v>1033</v>
      </c>
      <c r="C5611" s="5" t="s">
        <v>1031</v>
      </c>
      <c r="D5611" s="2" t="s">
        <v>6181</v>
      </c>
    </row>
    <row r="5612" spans="1:4" ht="13.05" customHeight="1" x14ac:dyDescent="0.3">
      <c r="A5612" s="2" t="s">
        <v>840</v>
      </c>
      <c r="B5612" s="2" t="s">
        <v>1033</v>
      </c>
      <c r="C5612" s="5" t="s">
        <v>1044</v>
      </c>
      <c r="D5612" s="2" t="s">
        <v>1045</v>
      </c>
    </row>
    <row r="5613" spans="1:4" ht="13.05" customHeight="1" x14ac:dyDescent="0.3">
      <c r="A5613" s="2" t="s">
        <v>840</v>
      </c>
      <c r="B5613" s="2" t="s">
        <v>1033</v>
      </c>
      <c r="C5613" s="5" t="s">
        <v>1021</v>
      </c>
      <c r="D5613" s="2" t="s">
        <v>6182</v>
      </c>
    </row>
    <row r="5614" spans="1:4" ht="13.05" customHeight="1" x14ac:dyDescent="0.3">
      <c r="A5614" s="2" t="s">
        <v>840</v>
      </c>
      <c r="B5614" s="2" t="s">
        <v>1033</v>
      </c>
      <c r="C5614" s="5" t="s">
        <v>1023</v>
      </c>
      <c r="D5614" s="2" t="s">
        <v>6183</v>
      </c>
    </row>
    <row r="5615" spans="1:4" ht="13.05" customHeight="1" x14ac:dyDescent="0.3">
      <c r="A5615" s="2" t="s">
        <v>842</v>
      </c>
      <c r="B5615" s="2" t="s">
        <v>1014</v>
      </c>
      <c r="C5615" s="5" t="s">
        <v>1044</v>
      </c>
      <c r="D5615" s="2" t="s">
        <v>1045</v>
      </c>
    </row>
    <row r="5616" spans="1:4" ht="13.05" customHeight="1" x14ac:dyDescent="0.3">
      <c r="A5616" s="2" t="s">
        <v>842</v>
      </c>
      <c r="B5616" s="2" t="s">
        <v>1014</v>
      </c>
      <c r="C5616" s="5" t="s">
        <v>1015</v>
      </c>
      <c r="D5616" s="2" t="s">
        <v>1092</v>
      </c>
    </row>
    <row r="5617" spans="1:4" ht="13.05" customHeight="1" x14ac:dyDescent="0.3">
      <c r="A5617" s="2" t="s">
        <v>842</v>
      </c>
      <c r="B5617" s="2" t="s">
        <v>1014</v>
      </c>
      <c r="C5617" s="5" t="s">
        <v>1017</v>
      </c>
      <c r="D5617" s="2" t="s">
        <v>1086</v>
      </c>
    </row>
    <row r="5618" spans="1:4" ht="13.05" customHeight="1" x14ac:dyDescent="0.3">
      <c r="A5618" s="2" t="s">
        <v>842</v>
      </c>
      <c r="B5618" s="2" t="s">
        <v>1014</v>
      </c>
      <c r="C5618" s="5" t="s">
        <v>1021</v>
      </c>
      <c r="D5618" s="2" t="s">
        <v>1106</v>
      </c>
    </row>
    <row r="5619" spans="1:4" ht="13.05" customHeight="1" x14ac:dyDescent="0.3">
      <c r="A5619" s="2" t="s">
        <v>842</v>
      </c>
      <c r="B5619" s="2" t="s">
        <v>1014</v>
      </c>
      <c r="C5619" s="5" t="s">
        <v>1023</v>
      </c>
      <c r="D5619" s="2" t="s">
        <v>1198</v>
      </c>
    </row>
    <row r="5620" spans="1:4" ht="13.05" customHeight="1" x14ac:dyDescent="0.3">
      <c r="A5620" s="2" t="s">
        <v>844</v>
      </c>
      <c r="B5620" s="2" t="s">
        <v>1014</v>
      </c>
      <c r="C5620" s="5" t="s">
        <v>1015</v>
      </c>
      <c r="D5620" s="2" t="s">
        <v>1092</v>
      </c>
    </row>
    <row r="5621" spans="1:4" ht="13.05" customHeight="1" x14ac:dyDescent="0.3">
      <c r="A5621" s="2" t="s">
        <v>844</v>
      </c>
      <c r="B5621" s="2" t="s">
        <v>1014</v>
      </c>
      <c r="C5621" s="5" t="s">
        <v>1017</v>
      </c>
      <c r="D5621" s="2" t="s">
        <v>1086</v>
      </c>
    </row>
    <row r="5622" spans="1:4" ht="13.05" customHeight="1" x14ac:dyDescent="0.3">
      <c r="A5622" s="2" t="s">
        <v>844</v>
      </c>
      <c r="B5622" s="2" t="s">
        <v>1014</v>
      </c>
      <c r="C5622" s="5" t="s">
        <v>1021</v>
      </c>
      <c r="D5622" s="2" t="s">
        <v>1106</v>
      </c>
    </row>
    <row r="5623" spans="1:4" ht="13.05" customHeight="1" x14ac:dyDescent="0.3">
      <c r="A5623" s="2" t="s">
        <v>844</v>
      </c>
      <c r="B5623" s="2" t="s">
        <v>1014</v>
      </c>
      <c r="C5623" s="5" t="s">
        <v>1023</v>
      </c>
      <c r="D5623" s="2" t="s">
        <v>1198</v>
      </c>
    </row>
    <row r="5624" spans="1:4" ht="13.05" customHeight="1" x14ac:dyDescent="0.3">
      <c r="A5624" s="2" t="s">
        <v>847</v>
      </c>
      <c r="B5624" s="2" t="s">
        <v>1054</v>
      </c>
      <c r="C5624" s="5" t="s">
        <v>1015</v>
      </c>
      <c r="D5624" s="2" t="s">
        <v>1016</v>
      </c>
    </row>
    <row r="5625" spans="1:4" ht="13.05" customHeight="1" x14ac:dyDescent="0.3">
      <c r="A5625" s="2" t="s">
        <v>847</v>
      </c>
      <c r="B5625" s="2" t="s">
        <v>1054</v>
      </c>
      <c r="C5625" s="5" t="s">
        <v>1017</v>
      </c>
      <c r="D5625" s="2" t="s">
        <v>1018</v>
      </c>
    </row>
    <row r="5626" spans="1:4" ht="13.05" customHeight="1" x14ac:dyDescent="0.3">
      <c r="A5626" s="2" t="s">
        <v>849</v>
      </c>
      <c r="B5626" s="2" t="s">
        <v>1199</v>
      </c>
      <c r="C5626" s="5" t="s">
        <v>1044</v>
      </c>
      <c r="D5626" s="2" t="s">
        <v>1045</v>
      </c>
    </row>
    <row r="5627" spans="1:4" ht="13.05" customHeight="1" x14ac:dyDescent="0.3">
      <c r="A5627" s="2" t="s">
        <v>849</v>
      </c>
      <c r="B5627" s="2" t="s">
        <v>1054</v>
      </c>
      <c r="C5627" s="5" t="s">
        <v>1019</v>
      </c>
      <c r="D5627" s="2" t="s">
        <v>1020</v>
      </c>
    </row>
    <row r="5628" spans="1:4" ht="13.05" customHeight="1" x14ac:dyDescent="0.3">
      <c r="A5628" s="2" t="s">
        <v>849</v>
      </c>
      <c r="B5628" s="2" t="s">
        <v>1054</v>
      </c>
      <c r="C5628" s="5" t="s">
        <v>1021</v>
      </c>
      <c r="D5628" s="2" t="s">
        <v>6184</v>
      </c>
    </row>
    <row r="5629" spans="1:4" ht="13.05" customHeight="1" x14ac:dyDescent="0.3">
      <c r="A5629" s="2" t="s">
        <v>849</v>
      </c>
      <c r="B5629" s="2" t="s">
        <v>1054</v>
      </c>
      <c r="C5629" s="5" t="s">
        <v>1023</v>
      </c>
      <c r="D5629" s="2" t="s">
        <v>6185</v>
      </c>
    </row>
    <row r="5630" spans="1:4" ht="13.05" customHeight="1" x14ac:dyDescent="0.3">
      <c r="A5630" s="2" t="s">
        <v>849</v>
      </c>
      <c r="B5630" s="2" t="s">
        <v>1199</v>
      </c>
      <c r="C5630" s="5" t="s">
        <v>1025</v>
      </c>
      <c r="D5630" s="2" t="s">
        <v>6186</v>
      </c>
    </row>
    <row r="5631" spans="1:4" ht="13.05" customHeight="1" x14ac:dyDescent="0.3">
      <c r="A5631" s="2" t="s">
        <v>849</v>
      </c>
      <c r="B5631" s="2" t="s">
        <v>1199</v>
      </c>
      <c r="C5631" s="5" t="s">
        <v>1027</v>
      </c>
      <c r="D5631" s="2" t="s">
        <v>6187</v>
      </c>
    </row>
    <row r="5632" spans="1:4" ht="13.05" customHeight="1" x14ac:dyDescent="0.3">
      <c r="A5632" s="2" t="s">
        <v>849</v>
      </c>
      <c r="B5632" s="2" t="s">
        <v>1054</v>
      </c>
      <c r="C5632" s="5" t="s">
        <v>1029</v>
      </c>
      <c r="D5632" s="2" t="s">
        <v>6188</v>
      </c>
    </row>
    <row r="5633" spans="1:4" ht="13.05" customHeight="1" x14ac:dyDescent="0.3">
      <c r="A5633" s="2" t="s">
        <v>849</v>
      </c>
      <c r="B5633" s="2" t="s">
        <v>1199</v>
      </c>
      <c r="C5633" s="5" t="s">
        <v>1031</v>
      </c>
      <c r="D5633" s="2" t="s">
        <v>6189</v>
      </c>
    </row>
    <row r="5634" spans="1:4" ht="13.05" customHeight="1" x14ac:dyDescent="0.3">
      <c r="A5634" s="2" t="s">
        <v>849</v>
      </c>
      <c r="B5634" s="2" t="s">
        <v>1199</v>
      </c>
      <c r="C5634" s="5" t="s">
        <v>1040</v>
      </c>
      <c r="D5634" s="2" t="s">
        <v>6190</v>
      </c>
    </row>
    <row r="5635" spans="1:4" ht="13.05" customHeight="1" x14ac:dyDescent="0.3">
      <c r="A5635" s="2" t="s">
        <v>849</v>
      </c>
      <c r="B5635" s="2" t="s">
        <v>1199</v>
      </c>
      <c r="C5635" s="5" t="s">
        <v>1042</v>
      </c>
      <c r="D5635" s="2" t="s">
        <v>6191</v>
      </c>
    </row>
    <row r="5636" spans="1:4" ht="13.05" customHeight="1" x14ac:dyDescent="0.3">
      <c r="A5636" s="2" t="s">
        <v>849</v>
      </c>
      <c r="B5636" s="2" t="s">
        <v>1054</v>
      </c>
      <c r="C5636" s="5" t="s">
        <v>1061</v>
      </c>
      <c r="D5636" s="2" t="s">
        <v>6192</v>
      </c>
    </row>
    <row r="5637" spans="1:4" ht="13.05" customHeight="1" x14ac:dyDescent="0.3">
      <c r="A5637" s="2" t="s">
        <v>849</v>
      </c>
      <c r="B5637" s="2" t="s">
        <v>1199</v>
      </c>
      <c r="C5637" s="5" t="s">
        <v>1063</v>
      </c>
      <c r="D5637" s="2" t="s">
        <v>6193</v>
      </c>
    </row>
    <row r="5638" spans="1:4" ht="13.05" customHeight="1" x14ac:dyDescent="0.3">
      <c r="A5638" s="2" t="s">
        <v>849</v>
      </c>
      <c r="B5638" s="2" t="s">
        <v>1054</v>
      </c>
      <c r="C5638" s="5" t="s">
        <v>1065</v>
      </c>
      <c r="D5638" s="2" t="s">
        <v>6194</v>
      </c>
    </row>
    <row r="5639" spans="1:4" ht="13.05" customHeight="1" x14ac:dyDescent="0.3">
      <c r="A5639" s="2" t="s">
        <v>849</v>
      </c>
      <c r="B5639" s="2" t="s">
        <v>1199</v>
      </c>
      <c r="C5639" s="5" t="s">
        <v>1067</v>
      </c>
      <c r="D5639" s="2" t="s">
        <v>6195</v>
      </c>
    </row>
    <row r="5640" spans="1:4" ht="13.05" customHeight="1" x14ac:dyDescent="0.3">
      <c r="A5640" s="2" t="s">
        <v>849</v>
      </c>
      <c r="B5640" s="2" t="s">
        <v>1199</v>
      </c>
      <c r="C5640" s="5" t="s">
        <v>1052</v>
      </c>
      <c r="D5640" s="2" t="s">
        <v>6196</v>
      </c>
    </row>
    <row r="5641" spans="1:4" ht="13.05" customHeight="1" x14ac:dyDescent="0.3">
      <c r="A5641" s="2" t="s">
        <v>852</v>
      </c>
      <c r="B5641" s="2" t="s">
        <v>1054</v>
      </c>
      <c r="C5641" s="5" t="s">
        <v>1044</v>
      </c>
      <c r="D5641" s="2" t="s">
        <v>1045</v>
      </c>
    </row>
    <row r="5642" spans="1:4" ht="13.05" customHeight="1" x14ac:dyDescent="0.3">
      <c r="A5642" s="2" t="s">
        <v>852</v>
      </c>
      <c r="B5642" s="2" t="s">
        <v>1054</v>
      </c>
      <c r="C5642" s="5" t="s">
        <v>1015</v>
      </c>
      <c r="D5642" s="2" t="s">
        <v>1016</v>
      </c>
    </row>
    <row r="5643" spans="1:4" ht="13.05" customHeight="1" x14ac:dyDescent="0.3">
      <c r="A5643" s="2" t="s">
        <v>852</v>
      </c>
      <c r="B5643" s="2" t="s">
        <v>1054</v>
      </c>
      <c r="C5643" s="5" t="s">
        <v>1017</v>
      </c>
      <c r="D5643" s="2" t="s">
        <v>1018</v>
      </c>
    </row>
    <row r="5644" spans="1:4" ht="13.05" customHeight="1" x14ac:dyDescent="0.3">
      <c r="A5644" s="2" t="s">
        <v>852</v>
      </c>
      <c r="B5644" s="2" t="s">
        <v>1054</v>
      </c>
      <c r="C5644" s="5" t="s">
        <v>1019</v>
      </c>
      <c r="D5644" s="2" t="s">
        <v>1020</v>
      </c>
    </row>
    <row r="5645" spans="1:4" ht="13.05" customHeight="1" x14ac:dyDescent="0.3">
      <c r="A5645" s="2" t="s">
        <v>852</v>
      </c>
      <c r="B5645" s="2" t="s">
        <v>1054</v>
      </c>
      <c r="C5645" s="5" t="s">
        <v>1021</v>
      </c>
      <c r="D5645" s="2" t="s">
        <v>1208</v>
      </c>
    </row>
    <row r="5646" spans="1:4" ht="13.05" customHeight="1" x14ac:dyDescent="0.3">
      <c r="A5646" s="2" t="s">
        <v>852</v>
      </c>
      <c r="B5646" s="2" t="s">
        <v>1054</v>
      </c>
      <c r="C5646" s="5" t="s">
        <v>1023</v>
      </c>
      <c r="D5646" s="2" t="s">
        <v>1209</v>
      </c>
    </row>
    <row r="5647" spans="1:4" ht="13.05" customHeight="1" x14ac:dyDescent="0.3">
      <c r="A5647" s="2" t="s">
        <v>852</v>
      </c>
      <c r="B5647" s="2" t="s">
        <v>1054</v>
      </c>
      <c r="C5647" s="5" t="s">
        <v>1025</v>
      </c>
      <c r="D5647" s="2" t="s">
        <v>1210</v>
      </c>
    </row>
    <row r="5648" spans="1:4" ht="13.05" customHeight="1" x14ac:dyDescent="0.3">
      <c r="A5648" s="2" t="s">
        <v>852</v>
      </c>
      <c r="B5648" s="2" t="s">
        <v>1054</v>
      </c>
      <c r="C5648" s="5" t="s">
        <v>1027</v>
      </c>
      <c r="D5648" s="2" t="s">
        <v>1211</v>
      </c>
    </row>
    <row r="5649" spans="1:4" ht="13.05" customHeight="1" x14ac:dyDescent="0.3">
      <c r="A5649" s="2" t="s">
        <v>852</v>
      </c>
      <c r="B5649" s="2" t="s">
        <v>1054</v>
      </c>
      <c r="C5649" s="5" t="s">
        <v>1029</v>
      </c>
      <c r="D5649" s="2" t="s">
        <v>6197</v>
      </c>
    </row>
    <row r="5650" spans="1:4" ht="13.05" customHeight="1" x14ac:dyDescent="0.3">
      <c r="A5650" s="2" t="s">
        <v>854</v>
      </c>
      <c r="B5650" s="2" t="s">
        <v>1054</v>
      </c>
      <c r="C5650" s="5" t="s">
        <v>1213</v>
      </c>
      <c r="D5650" s="2" t="s">
        <v>1092</v>
      </c>
    </row>
    <row r="5651" spans="1:4" ht="13.05" customHeight="1" x14ac:dyDescent="0.3">
      <c r="A5651" s="2" t="s">
        <v>854</v>
      </c>
      <c r="B5651" s="2" t="s">
        <v>1054</v>
      </c>
      <c r="C5651" s="5" t="s">
        <v>1214</v>
      </c>
      <c r="D5651" s="2" t="s">
        <v>1018</v>
      </c>
    </row>
    <row r="5652" spans="1:4" ht="13.05" customHeight="1" x14ac:dyDescent="0.3">
      <c r="A5652" s="2" t="s">
        <v>854</v>
      </c>
      <c r="B5652" s="2" t="s">
        <v>1054</v>
      </c>
      <c r="C5652" s="5" t="s">
        <v>1044</v>
      </c>
      <c r="D5652" s="2" t="s">
        <v>1045</v>
      </c>
    </row>
    <row r="5653" spans="1:4" ht="13.05" customHeight="1" x14ac:dyDescent="0.3">
      <c r="A5653" s="2" t="s">
        <v>854</v>
      </c>
      <c r="B5653" s="2" t="s">
        <v>1054</v>
      </c>
      <c r="C5653" s="5" t="s">
        <v>1015</v>
      </c>
      <c r="D5653" s="2" t="s">
        <v>1092</v>
      </c>
    </row>
    <row r="5654" spans="1:4" ht="13.05" customHeight="1" x14ac:dyDescent="0.3">
      <c r="A5654" s="2" t="s">
        <v>854</v>
      </c>
      <c r="B5654" s="2" t="s">
        <v>1054</v>
      </c>
      <c r="C5654" s="5" t="s">
        <v>1017</v>
      </c>
      <c r="D5654" s="2" t="s">
        <v>1018</v>
      </c>
    </row>
    <row r="5655" spans="1:4" ht="13.05" customHeight="1" x14ac:dyDescent="0.3">
      <c r="A5655" s="2" t="s">
        <v>854</v>
      </c>
      <c r="B5655" s="2" t="s">
        <v>1054</v>
      </c>
      <c r="C5655" s="5" t="s">
        <v>1019</v>
      </c>
      <c r="D5655" s="2" t="s">
        <v>1020</v>
      </c>
    </row>
    <row r="5656" spans="1:4" ht="13.05" customHeight="1" x14ac:dyDescent="0.3">
      <c r="A5656" s="2" t="s">
        <v>857</v>
      </c>
      <c r="B5656" s="2" t="s">
        <v>1054</v>
      </c>
      <c r="C5656" s="5" t="s">
        <v>1044</v>
      </c>
      <c r="D5656" s="2" t="s">
        <v>1045</v>
      </c>
    </row>
    <row r="5657" spans="1:4" ht="13.05" customHeight="1" x14ac:dyDescent="0.3">
      <c r="A5657" s="2" t="s">
        <v>857</v>
      </c>
      <c r="B5657" s="2" t="s">
        <v>1054</v>
      </c>
      <c r="C5657" s="5" t="s">
        <v>1015</v>
      </c>
      <c r="D5657" s="2" t="s">
        <v>1092</v>
      </c>
    </row>
    <row r="5658" spans="1:4" ht="13.05" customHeight="1" x14ac:dyDescent="0.3">
      <c r="A5658" s="2" t="s">
        <v>857</v>
      </c>
      <c r="B5658" s="2" t="s">
        <v>1054</v>
      </c>
      <c r="C5658" s="5" t="s">
        <v>1017</v>
      </c>
      <c r="D5658" s="2" t="s">
        <v>1086</v>
      </c>
    </row>
    <row r="5659" spans="1:4" ht="13.05" customHeight="1" x14ac:dyDescent="0.3">
      <c r="A5659" s="2" t="s">
        <v>857</v>
      </c>
      <c r="B5659" s="2" t="s">
        <v>1054</v>
      </c>
      <c r="C5659" s="5" t="s">
        <v>1021</v>
      </c>
      <c r="D5659" s="2" t="s">
        <v>1106</v>
      </c>
    </row>
    <row r="5660" spans="1:4" ht="13.05" customHeight="1" x14ac:dyDescent="0.3">
      <c r="A5660" s="2" t="s">
        <v>857</v>
      </c>
      <c r="B5660" s="2" t="s">
        <v>1054</v>
      </c>
      <c r="C5660" s="5" t="s">
        <v>1023</v>
      </c>
      <c r="D5660" s="2" t="s">
        <v>1107</v>
      </c>
    </row>
    <row r="5661" spans="1:4" ht="13.05" customHeight="1" x14ac:dyDescent="0.3">
      <c r="A5661" s="2" t="s">
        <v>860</v>
      </c>
      <c r="B5661" s="2" t="s">
        <v>1054</v>
      </c>
      <c r="C5661" s="5" t="s">
        <v>1044</v>
      </c>
      <c r="D5661" s="2" t="s">
        <v>1045</v>
      </c>
    </row>
    <row r="5662" spans="1:4" ht="13.05" customHeight="1" x14ac:dyDescent="0.3">
      <c r="A5662" s="2" t="s">
        <v>860</v>
      </c>
      <c r="B5662" s="2" t="s">
        <v>1054</v>
      </c>
      <c r="C5662" s="5" t="s">
        <v>1015</v>
      </c>
      <c r="D5662" s="2" t="s">
        <v>1092</v>
      </c>
    </row>
    <row r="5663" spans="1:4" ht="13.05" customHeight="1" x14ac:dyDescent="0.3">
      <c r="A5663" s="2" t="s">
        <v>860</v>
      </c>
      <c r="B5663" s="2" t="s">
        <v>1054</v>
      </c>
      <c r="C5663" s="5" t="s">
        <v>1017</v>
      </c>
      <c r="D5663" s="2" t="s">
        <v>1018</v>
      </c>
    </row>
    <row r="5664" spans="1:4" ht="13.05" customHeight="1" x14ac:dyDescent="0.3">
      <c r="A5664" s="2" t="s">
        <v>860</v>
      </c>
      <c r="B5664" s="2" t="s">
        <v>1054</v>
      </c>
      <c r="C5664" s="5" t="s">
        <v>1019</v>
      </c>
      <c r="D5664" s="2" t="s">
        <v>1020</v>
      </c>
    </row>
    <row r="5665" spans="1:4" ht="13.05" customHeight="1" x14ac:dyDescent="0.3">
      <c r="A5665" s="2" t="s">
        <v>863</v>
      </c>
      <c r="B5665" s="2" t="s">
        <v>1054</v>
      </c>
      <c r="C5665" s="5" t="s">
        <v>1019</v>
      </c>
      <c r="D5665" s="2" t="s">
        <v>1020</v>
      </c>
    </row>
    <row r="5666" spans="1:4" ht="13.05" customHeight="1" x14ac:dyDescent="0.3">
      <c r="A5666" s="2" t="s">
        <v>866</v>
      </c>
      <c r="B5666" s="2" t="s">
        <v>1054</v>
      </c>
      <c r="C5666" s="5" t="s">
        <v>1015</v>
      </c>
      <c r="D5666" s="2" t="s">
        <v>1092</v>
      </c>
    </row>
    <row r="5667" spans="1:4" ht="13.05" customHeight="1" x14ac:dyDescent="0.3">
      <c r="A5667" s="2" t="s">
        <v>866</v>
      </c>
      <c r="B5667" s="2" t="s">
        <v>1054</v>
      </c>
      <c r="C5667" s="5" t="s">
        <v>1017</v>
      </c>
      <c r="D5667" s="2" t="s">
        <v>1086</v>
      </c>
    </row>
    <row r="5668" spans="1:4" ht="13.05" customHeight="1" x14ac:dyDescent="0.3">
      <c r="A5668" s="2" t="s">
        <v>866</v>
      </c>
      <c r="B5668" s="2" t="s">
        <v>1054</v>
      </c>
      <c r="C5668" s="5" t="s">
        <v>1021</v>
      </c>
      <c r="D5668" s="2" t="s">
        <v>6198</v>
      </c>
    </row>
    <row r="5669" spans="1:4" ht="13.05" customHeight="1" x14ac:dyDescent="0.3">
      <c r="A5669" s="2" t="s">
        <v>866</v>
      </c>
      <c r="B5669" s="2" t="s">
        <v>1054</v>
      </c>
      <c r="C5669" s="5" t="s">
        <v>1023</v>
      </c>
      <c r="D5669" s="2" t="s">
        <v>6199</v>
      </c>
    </row>
    <row r="5670" spans="1:4" ht="13.05" customHeight="1" x14ac:dyDescent="0.3">
      <c r="A5670" s="2" t="s">
        <v>866</v>
      </c>
      <c r="B5670" s="2" t="s">
        <v>1054</v>
      </c>
      <c r="C5670" s="5" t="s">
        <v>1025</v>
      </c>
      <c r="D5670" s="2" t="s">
        <v>6200</v>
      </c>
    </row>
    <row r="5671" spans="1:4" ht="13.05" customHeight="1" x14ac:dyDescent="0.3">
      <c r="A5671" s="2" t="s">
        <v>866</v>
      </c>
      <c r="B5671" s="2" t="s">
        <v>1054</v>
      </c>
      <c r="C5671" s="5" t="s">
        <v>1027</v>
      </c>
      <c r="D5671" s="2" t="s">
        <v>6201</v>
      </c>
    </row>
    <row r="5672" spans="1:4" ht="13.05" customHeight="1" x14ac:dyDescent="0.3">
      <c r="A5672" s="2" t="s">
        <v>866</v>
      </c>
      <c r="B5672" s="2" t="s">
        <v>1054</v>
      </c>
      <c r="C5672" s="5" t="s">
        <v>1029</v>
      </c>
      <c r="D5672" s="2" t="s">
        <v>6202</v>
      </c>
    </row>
    <row r="5673" spans="1:4" ht="13.05" customHeight="1" x14ac:dyDescent="0.3">
      <c r="A5673" s="2" t="s">
        <v>866</v>
      </c>
      <c r="B5673" s="2" t="s">
        <v>1054</v>
      </c>
      <c r="C5673" s="5" t="s">
        <v>1031</v>
      </c>
      <c r="D5673" s="2" t="s">
        <v>6203</v>
      </c>
    </row>
    <row r="5674" spans="1:4" ht="13.05" customHeight="1" x14ac:dyDescent="0.3">
      <c r="A5674" s="2" t="s">
        <v>866</v>
      </c>
      <c r="B5674" s="2" t="s">
        <v>1054</v>
      </c>
      <c r="C5674" s="5" t="s">
        <v>1040</v>
      </c>
      <c r="D5674" s="2" t="s">
        <v>6204</v>
      </c>
    </row>
    <row r="5675" spans="1:4" ht="13.05" customHeight="1" x14ac:dyDescent="0.3">
      <c r="A5675" s="2" t="s">
        <v>866</v>
      </c>
      <c r="B5675" s="2" t="s">
        <v>1054</v>
      </c>
      <c r="C5675" s="5" t="s">
        <v>1052</v>
      </c>
      <c r="D5675" s="2" t="s">
        <v>6149</v>
      </c>
    </row>
    <row r="5676" spans="1:4" ht="13.05" customHeight="1" x14ac:dyDescent="0.3">
      <c r="A5676" s="2" t="s">
        <v>869</v>
      </c>
      <c r="B5676" s="2" t="s">
        <v>1054</v>
      </c>
      <c r="C5676" s="5" t="s">
        <v>1015</v>
      </c>
      <c r="D5676" s="2" t="s">
        <v>1016</v>
      </c>
    </row>
    <row r="5677" spans="1:4" ht="13.05" customHeight="1" x14ac:dyDescent="0.3">
      <c r="A5677" s="2" t="s">
        <v>869</v>
      </c>
      <c r="B5677" s="2" t="s">
        <v>1054</v>
      </c>
      <c r="C5677" s="5" t="s">
        <v>1017</v>
      </c>
      <c r="D5677" s="2" t="s">
        <v>1018</v>
      </c>
    </row>
    <row r="5678" spans="1:4" ht="13.05" customHeight="1" x14ac:dyDescent="0.3">
      <c r="A5678" s="2" t="s">
        <v>872</v>
      </c>
      <c r="B5678" s="2" t="s">
        <v>1054</v>
      </c>
      <c r="C5678" s="5" t="s">
        <v>1044</v>
      </c>
      <c r="D5678" s="2" t="s">
        <v>1045</v>
      </c>
    </row>
    <row r="5679" spans="1:4" ht="13.05" customHeight="1" x14ac:dyDescent="0.3">
      <c r="A5679" s="2" t="s">
        <v>872</v>
      </c>
      <c r="B5679" s="2" t="s">
        <v>1054</v>
      </c>
      <c r="C5679" s="5" t="s">
        <v>1015</v>
      </c>
      <c r="D5679" s="2" t="s">
        <v>1092</v>
      </c>
    </row>
    <row r="5680" spans="1:4" ht="13.05" customHeight="1" x14ac:dyDescent="0.3">
      <c r="A5680" s="2" t="s">
        <v>872</v>
      </c>
      <c r="B5680" s="2" t="s">
        <v>1054</v>
      </c>
      <c r="C5680" s="5" t="s">
        <v>1017</v>
      </c>
      <c r="D5680" s="2" t="s">
        <v>1086</v>
      </c>
    </row>
    <row r="5681" spans="1:4" ht="13.05" customHeight="1" x14ac:dyDescent="0.3">
      <c r="A5681" s="2" t="s">
        <v>872</v>
      </c>
      <c r="B5681" s="2" t="s">
        <v>1054</v>
      </c>
      <c r="C5681" s="5" t="s">
        <v>1019</v>
      </c>
      <c r="D5681" s="2" t="s">
        <v>1020</v>
      </c>
    </row>
    <row r="5682" spans="1:4" ht="13.05" customHeight="1" x14ac:dyDescent="0.3">
      <c r="A5682" s="2" t="s">
        <v>872</v>
      </c>
      <c r="B5682" s="2" t="s">
        <v>1054</v>
      </c>
      <c r="C5682" s="5" t="s">
        <v>1021</v>
      </c>
      <c r="D5682" s="2" t="s">
        <v>1106</v>
      </c>
    </row>
    <row r="5683" spans="1:4" ht="13.05" customHeight="1" x14ac:dyDescent="0.3">
      <c r="A5683" s="2" t="s">
        <v>872</v>
      </c>
      <c r="B5683" s="2" t="s">
        <v>1054</v>
      </c>
      <c r="C5683" s="5" t="s">
        <v>1023</v>
      </c>
      <c r="D5683" s="2" t="s">
        <v>1107</v>
      </c>
    </row>
    <row r="5684" spans="1:4" ht="13.05" customHeight="1" x14ac:dyDescent="0.3">
      <c r="A5684" s="2" t="s">
        <v>875</v>
      </c>
      <c r="B5684" s="2" t="s">
        <v>1054</v>
      </c>
      <c r="C5684" s="5" t="s">
        <v>1044</v>
      </c>
      <c r="D5684" s="2" t="s">
        <v>1045</v>
      </c>
    </row>
    <row r="5685" spans="1:4" ht="13.05" customHeight="1" x14ac:dyDescent="0.3">
      <c r="A5685" s="2" t="s">
        <v>875</v>
      </c>
      <c r="B5685" s="2" t="s">
        <v>1054</v>
      </c>
      <c r="C5685" s="5" t="s">
        <v>1015</v>
      </c>
      <c r="D5685" s="2" t="s">
        <v>1092</v>
      </c>
    </row>
    <row r="5686" spans="1:4" ht="13.05" customHeight="1" x14ac:dyDescent="0.3">
      <c r="A5686" s="2" t="s">
        <v>875</v>
      </c>
      <c r="B5686" s="2" t="s">
        <v>1054</v>
      </c>
      <c r="C5686" s="5" t="s">
        <v>1017</v>
      </c>
      <c r="D5686" s="2" t="s">
        <v>1086</v>
      </c>
    </row>
    <row r="5687" spans="1:4" ht="13.05" customHeight="1" x14ac:dyDescent="0.3">
      <c r="A5687" s="2" t="s">
        <v>875</v>
      </c>
      <c r="B5687" s="2" t="s">
        <v>1054</v>
      </c>
      <c r="C5687" s="5" t="s">
        <v>1019</v>
      </c>
      <c r="D5687" s="2" t="s">
        <v>1020</v>
      </c>
    </row>
    <row r="5688" spans="1:4" ht="13.05" customHeight="1" x14ac:dyDescent="0.3">
      <c r="A5688" s="2" t="s">
        <v>875</v>
      </c>
      <c r="B5688" s="2" t="s">
        <v>1054</v>
      </c>
      <c r="C5688" s="5" t="s">
        <v>1021</v>
      </c>
      <c r="D5688" s="2" t="s">
        <v>1106</v>
      </c>
    </row>
    <row r="5689" spans="1:4" ht="13.05" customHeight="1" x14ac:dyDescent="0.3">
      <c r="A5689" s="2" t="s">
        <v>875</v>
      </c>
      <c r="B5689" s="2" t="s">
        <v>1054</v>
      </c>
      <c r="C5689" s="5" t="s">
        <v>1023</v>
      </c>
      <c r="D5689" s="2" t="s">
        <v>1107</v>
      </c>
    </row>
    <row r="5690" spans="1:4" ht="13.05" customHeight="1" x14ac:dyDescent="0.3">
      <c r="A5690" s="2" t="s">
        <v>878</v>
      </c>
      <c r="B5690" s="2" t="s">
        <v>1014</v>
      </c>
      <c r="C5690" s="5" t="s">
        <v>1044</v>
      </c>
      <c r="D5690" s="2" t="s">
        <v>1045</v>
      </c>
    </row>
    <row r="5691" spans="1:4" ht="13.05" customHeight="1" x14ac:dyDescent="0.3">
      <c r="A5691" s="2" t="s">
        <v>878</v>
      </c>
      <c r="B5691" s="2" t="s">
        <v>1014</v>
      </c>
      <c r="C5691" s="5" t="s">
        <v>1015</v>
      </c>
      <c r="D5691" s="2" t="s">
        <v>1092</v>
      </c>
    </row>
    <row r="5692" spans="1:4" ht="13.05" customHeight="1" x14ac:dyDescent="0.3">
      <c r="A5692" s="2" t="s">
        <v>878</v>
      </c>
      <c r="B5692" s="2" t="s">
        <v>1014</v>
      </c>
      <c r="C5692" s="5" t="s">
        <v>1017</v>
      </c>
      <c r="D5692" s="2" t="s">
        <v>1086</v>
      </c>
    </row>
    <row r="5693" spans="1:4" ht="13.05" customHeight="1" x14ac:dyDescent="0.3">
      <c r="A5693" s="2" t="s">
        <v>878</v>
      </c>
      <c r="B5693" s="2" t="s">
        <v>1014</v>
      </c>
      <c r="C5693" s="5" t="s">
        <v>1019</v>
      </c>
      <c r="D5693" s="2" t="s">
        <v>1020</v>
      </c>
    </row>
    <row r="5694" spans="1:4" ht="13.05" customHeight="1" x14ac:dyDescent="0.3">
      <c r="A5694" s="2" t="s">
        <v>878</v>
      </c>
      <c r="B5694" s="2" t="s">
        <v>1014</v>
      </c>
      <c r="C5694" s="5" t="s">
        <v>1021</v>
      </c>
      <c r="D5694" s="2" t="s">
        <v>1106</v>
      </c>
    </row>
    <row r="5695" spans="1:4" ht="13.05" customHeight="1" x14ac:dyDescent="0.3">
      <c r="A5695" s="2" t="s">
        <v>878</v>
      </c>
      <c r="B5695" s="2" t="s">
        <v>1014</v>
      </c>
      <c r="C5695" s="5" t="s">
        <v>1023</v>
      </c>
      <c r="D5695" s="2" t="s">
        <v>1107</v>
      </c>
    </row>
    <row r="5696" spans="1:4" ht="13.05" customHeight="1" x14ac:dyDescent="0.3">
      <c r="A5696" s="2" t="s">
        <v>881</v>
      </c>
      <c r="B5696" s="2" t="s">
        <v>1199</v>
      </c>
      <c r="C5696" s="5" t="s">
        <v>1019</v>
      </c>
      <c r="D5696" s="2" t="s">
        <v>1020</v>
      </c>
    </row>
    <row r="5697" spans="1:4" ht="13.05" customHeight="1" x14ac:dyDescent="0.3">
      <c r="A5697" s="2" t="s">
        <v>883</v>
      </c>
      <c r="B5697" s="2" t="s">
        <v>1199</v>
      </c>
      <c r="C5697" s="5" t="s">
        <v>1019</v>
      </c>
      <c r="D5697" s="2" t="s">
        <v>1020</v>
      </c>
    </row>
    <row r="5698" spans="1:4" ht="13.05" customHeight="1" x14ac:dyDescent="0.3">
      <c r="A5698" s="2" t="s">
        <v>885</v>
      </c>
      <c r="B5698" s="2" t="s">
        <v>1014</v>
      </c>
      <c r="C5698" s="5" t="s">
        <v>1015</v>
      </c>
      <c r="D5698" s="2" t="s">
        <v>1092</v>
      </c>
    </row>
    <row r="5699" spans="1:4" ht="13.05" customHeight="1" x14ac:dyDescent="0.3">
      <c r="A5699" s="2" t="s">
        <v>885</v>
      </c>
      <c r="B5699" s="2" t="s">
        <v>1014</v>
      </c>
      <c r="C5699" s="5" t="s">
        <v>1017</v>
      </c>
      <c r="D5699" s="2" t="s">
        <v>1086</v>
      </c>
    </row>
    <row r="5700" spans="1:4" ht="13.05" customHeight="1" x14ac:dyDescent="0.3">
      <c r="A5700" s="2" t="s">
        <v>885</v>
      </c>
      <c r="B5700" s="2" t="s">
        <v>1014</v>
      </c>
      <c r="C5700" s="5" t="s">
        <v>1019</v>
      </c>
      <c r="D5700" s="2" t="s">
        <v>1020</v>
      </c>
    </row>
    <row r="5701" spans="1:4" ht="13.05" customHeight="1" x14ac:dyDescent="0.3">
      <c r="A5701" s="2" t="s">
        <v>888</v>
      </c>
      <c r="B5701" s="2" t="s">
        <v>1033</v>
      </c>
      <c r="C5701" s="5" t="s">
        <v>1015</v>
      </c>
      <c r="D5701" s="2" t="s">
        <v>1016</v>
      </c>
    </row>
    <row r="5702" spans="1:4" ht="13.05" customHeight="1" x14ac:dyDescent="0.3">
      <c r="A5702" s="2" t="s">
        <v>888</v>
      </c>
      <c r="B5702" s="2" t="s">
        <v>1033</v>
      </c>
      <c r="C5702" s="5" t="s">
        <v>1017</v>
      </c>
      <c r="D5702" s="2" t="s">
        <v>1018</v>
      </c>
    </row>
    <row r="5703" spans="1:4" ht="13.05" customHeight="1" x14ac:dyDescent="0.3">
      <c r="A5703" s="2" t="s">
        <v>888</v>
      </c>
      <c r="B5703" s="2" t="s">
        <v>1033</v>
      </c>
      <c r="C5703" s="5" t="s">
        <v>1019</v>
      </c>
      <c r="D5703" s="2" t="s">
        <v>1020</v>
      </c>
    </row>
    <row r="5704" spans="1:4" ht="13.05" customHeight="1" x14ac:dyDescent="0.3">
      <c r="A5704" s="2" t="s">
        <v>888</v>
      </c>
      <c r="B5704" s="2" t="s">
        <v>1033</v>
      </c>
      <c r="C5704" s="5" t="s">
        <v>1021</v>
      </c>
      <c r="D5704" s="2" t="s">
        <v>1087</v>
      </c>
    </row>
    <row r="5705" spans="1:4" ht="13.05" customHeight="1" x14ac:dyDescent="0.3">
      <c r="A5705" s="2" t="s">
        <v>888</v>
      </c>
      <c r="B5705" s="2" t="s">
        <v>1033</v>
      </c>
      <c r="C5705" s="5" t="s">
        <v>1023</v>
      </c>
      <c r="D5705" s="2" t="s">
        <v>1109</v>
      </c>
    </row>
    <row r="5706" spans="1:4" ht="13.05" customHeight="1" x14ac:dyDescent="0.3">
      <c r="A5706" s="2" t="s">
        <v>888</v>
      </c>
      <c r="B5706" s="2" t="s">
        <v>1033</v>
      </c>
      <c r="C5706" s="5" t="s">
        <v>1025</v>
      </c>
      <c r="D5706" s="2" t="s">
        <v>1089</v>
      </c>
    </row>
    <row r="5707" spans="1:4" ht="13.05" customHeight="1" x14ac:dyDescent="0.3">
      <c r="A5707" s="2" t="s">
        <v>888</v>
      </c>
      <c r="B5707" s="2" t="s">
        <v>1033</v>
      </c>
      <c r="C5707" s="5" t="s">
        <v>1027</v>
      </c>
      <c r="D5707" s="2" t="s">
        <v>1090</v>
      </c>
    </row>
    <row r="5708" spans="1:4" ht="13.05" customHeight="1" x14ac:dyDescent="0.3">
      <c r="A5708" s="2" t="s">
        <v>888</v>
      </c>
      <c r="B5708" s="2" t="s">
        <v>1033</v>
      </c>
      <c r="C5708" s="5" t="s">
        <v>1029</v>
      </c>
      <c r="D5708" s="2" t="s">
        <v>1091</v>
      </c>
    </row>
    <row r="5709" spans="1:4" ht="13.05" customHeight="1" x14ac:dyDescent="0.3">
      <c r="A5709" s="2" t="s">
        <v>891</v>
      </c>
      <c r="B5709" s="2" t="s">
        <v>1033</v>
      </c>
      <c r="C5709" s="5" t="s">
        <v>1015</v>
      </c>
      <c r="D5709" s="2" t="s">
        <v>1092</v>
      </c>
    </row>
    <row r="5710" spans="1:4" ht="13.05" customHeight="1" x14ac:dyDescent="0.3">
      <c r="A5710" s="2" t="s">
        <v>891</v>
      </c>
      <c r="B5710" s="2" t="s">
        <v>1033</v>
      </c>
      <c r="C5710" s="5" t="s">
        <v>1017</v>
      </c>
      <c r="D5710" s="2" t="s">
        <v>1018</v>
      </c>
    </row>
    <row r="5711" spans="1:4" ht="13.05" customHeight="1" x14ac:dyDescent="0.3">
      <c r="A5711" s="2" t="s">
        <v>891</v>
      </c>
      <c r="B5711" s="2" t="s">
        <v>1033</v>
      </c>
      <c r="C5711" s="5" t="s">
        <v>1019</v>
      </c>
      <c r="D5711" s="2" t="s">
        <v>1020</v>
      </c>
    </row>
    <row r="5712" spans="1:4" ht="13.05" customHeight="1" x14ac:dyDescent="0.3">
      <c r="A5712" s="2" t="s">
        <v>891</v>
      </c>
      <c r="B5712" s="2" t="s">
        <v>1033</v>
      </c>
      <c r="C5712" s="5" t="s">
        <v>1021</v>
      </c>
      <c r="D5712" s="2" t="s">
        <v>1093</v>
      </c>
    </row>
    <row r="5713" spans="1:4" ht="13.05" customHeight="1" x14ac:dyDescent="0.3">
      <c r="A5713" s="2" t="s">
        <v>891</v>
      </c>
      <c r="B5713" s="2" t="s">
        <v>1033</v>
      </c>
      <c r="C5713" s="5" t="s">
        <v>1023</v>
      </c>
      <c r="D5713" s="2" t="s">
        <v>1094</v>
      </c>
    </row>
    <row r="5714" spans="1:4" ht="13.05" customHeight="1" x14ac:dyDescent="0.3">
      <c r="A5714" s="2" t="s">
        <v>891</v>
      </c>
      <c r="B5714" s="2" t="s">
        <v>1033</v>
      </c>
      <c r="C5714" s="5" t="s">
        <v>1025</v>
      </c>
      <c r="D5714" s="2" t="s">
        <v>6205</v>
      </c>
    </row>
    <row r="5715" spans="1:4" ht="13.05" customHeight="1" x14ac:dyDescent="0.3">
      <c r="A5715" s="2" t="s">
        <v>891</v>
      </c>
      <c r="B5715" s="2" t="s">
        <v>1033</v>
      </c>
      <c r="C5715" s="5" t="s">
        <v>1027</v>
      </c>
      <c r="D5715" s="2" t="s">
        <v>1096</v>
      </c>
    </row>
    <row r="5716" spans="1:4" ht="13.05" customHeight="1" x14ac:dyDescent="0.3">
      <c r="A5716" s="2" t="s">
        <v>891</v>
      </c>
      <c r="B5716" s="2" t="s">
        <v>1033</v>
      </c>
      <c r="C5716" s="5" t="s">
        <v>1029</v>
      </c>
      <c r="D5716" s="2" t="s">
        <v>1097</v>
      </c>
    </row>
    <row r="5717" spans="1:4" ht="13.05" customHeight="1" x14ac:dyDescent="0.3">
      <c r="A5717" s="2" t="s">
        <v>894</v>
      </c>
      <c r="B5717" s="2" t="s">
        <v>1014</v>
      </c>
      <c r="C5717" s="5" t="s">
        <v>1044</v>
      </c>
      <c r="D5717" s="2" t="s">
        <v>1045</v>
      </c>
    </row>
    <row r="5718" spans="1:4" ht="13.05" customHeight="1" x14ac:dyDescent="0.3">
      <c r="A5718" s="2" t="s">
        <v>894</v>
      </c>
      <c r="B5718" s="2" t="s">
        <v>1014</v>
      </c>
      <c r="C5718" s="5" t="s">
        <v>1015</v>
      </c>
      <c r="D5718" s="2" t="s">
        <v>1092</v>
      </c>
    </row>
    <row r="5719" spans="1:4" ht="13.05" customHeight="1" x14ac:dyDescent="0.3">
      <c r="A5719" s="2" t="s">
        <v>894</v>
      </c>
      <c r="B5719" s="2" t="s">
        <v>1014</v>
      </c>
      <c r="C5719" s="5" t="s">
        <v>1017</v>
      </c>
      <c r="D5719" s="2" t="s">
        <v>1018</v>
      </c>
    </row>
    <row r="5720" spans="1:4" ht="13.05" customHeight="1" x14ac:dyDescent="0.3">
      <c r="A5720" s="2" t="s">
        <v>894</v>
      </c>
      <c r="B5720" s="2" t="s">
        <v>1014</v>
      </c>
      <c r="C5720" s="5" t="s">
        <v>1019</v>
      </c>
      <c r="D5720" s="2" t="s">
        <v>1020</v>
      </c>
    </row>
    <row r="5721" spans="1:4" ht="13.05" customHeight="1" x14ac:dyDescent="0.3">
      <c r="A5721" s="2" t="s">
        <v>897</v>
      </c>
      <c r="B5721" s="2" t="s">
        <v>1014</v>
      </c>
      <c r="C5721" s="5" t="s">
        <v>1044</v>
      </c>
      <c r="D5721" s="2" t="s">
        <v>1045</v>
      </c>
    </row>
    <row r="5722" spans="1:4" ht="13.05" customHeight="1" x14ac:dyDescent="0.3">
      <c r="A5722" s="2" t="s">
        <v>897</v>
      </c>
      <c r="B5722" s="2" t="s">
        <v>1014</v>
      </c>
      <c r="C5722" s="5" t="s">
        <v>1015</v>
      </c>
      <c r="D5722" s="2" t="s">
        <v>1092</v>
      </c>
    </row>
    <row r="5723" spans="1:4" ht="13.05" customHeight="1" x14ac:dyDescent="0.3">
      <c r="A5723" s="2" t="s">
        <v>897</v>
      </c>
      <c r="B5723" s="2" t="s">
        <v>1014</v>
      </c>
      <c r="C5723" s="5" t="s">
        <v>1017</v>
      </c>
      <c r="D5723" s="2" t="s">
        <v>1018</v>
      </c>
    </row>
    <row r="5724" spans="1:4" ht="13.05" customHeight="1" x14ac:dyDescent="0.3">
      <c r="A5724" s="2" t="s">
        <v>897</v>
      </c>
      <c r="B5724" s="2" t="s">
        <v>1014</v>
      </c>
      <c r="C5724" s="5" t="s">
        <v>1019</v>
      </c>
      <c r="D5724" s="2" t="s">
        <v>1020</v>
      </c>
    </row>
    <row r="5725" spans="1:4" ht="13.05" customHeight="1" x14ac:dyDescent="0.3">
      <c r="A5725" s="2" t="s">
        <v>897</v>
      </c>
      <c r="B5725" s="2" t="s">
        <v>1014</v>
      </c>
      <c r="C5725" s="5" t="s">
        <v>1021</v>
      </c>
      <c r="D5725" s="2" t="s">
        <v>1098</v>
      </c>
    </row>
    <row r="5726" spans="1:4" ht="13.05" customHeight="1" x14ac:dyDescent="0.3">
      <c r="A5726" s="2" t="s">
        <v>897</v>
      </c>
      <c r="B5726" s="2" t="s">
        <v>1014</v>
      </c>
      <c r="C5726" s="5" t="s">
        <v>1023</v>
      </c>
      <c r="D5726" s="2" t="s">
        <v>1099</v>
      </c>
    </row>
    <row r="5727" spans="1:4" ht="13.05" customHeight="1" x14ac:dyDescent="0.3">
      <c r="A5727" s="2" t="s">
        <v>897</v>
      </c>
      <c r="B5727" s="2" t="s">
        <v>1014</v>
      </c>
      <c r="C5727" s="5" t="s">
        <v>1025</v>
      </c>
      <c r="D5727" s="2" t="s">
        <v>1100</v>
      </c>
    </row>
    <row r="5728" spans="1:4" ht="13.05" customHeight="1" x14ac:dyDescent="0.3">
      <c r="A5728" s="2" t="s">
        <v>897</v>
      </c>
      <c r="B5728" s="2" t="s">
        <v>1014</v>
      </c>
      <c r="C5728" s="5" t="s">
        <v>1027</v>
      </c>
      <c r="D5728" s="2" t="s">
        <v>6206</v>
      </c>
    </row>
    <row r="5729" spans="1:4" ht="13.05" customHeight="1" x14ac:dyDescent="0.3">
      <c r="A5729" s="2" t="s">
        <v>897</v>
      </c>
      <c r="B5729" s="2" t="s">
        <v>1014</v>
      </c>
      <c r="C5729" s="5" t="s">
        <v>1029</v>
      </c>
      <c r="D5729" s="2" t="s">
        <v>1102</v>
      </c>
    </row>
    <row r="5730" spans="1:4" ht="13.05" customHeight="1" x14ac:dyDescent="0.3">
      <c r="A5730" s="2" t="s">
        <v>897</v>
      </c>
      <c r="B5730" s="2" t="s">
        <v>1014</v>
      </c>
      <c r="C5730" s="5" t="s">
        <v>1031</v>
      </c>
      <c r="D5730" s="2" t="s">
        <v>1103</v>
      </c>
    </row>
    <row r="5731" spans="1:4" ht="13.05" customHeight="1" x14ac:dyDescent="0.3">
      <c r="A5731" s="2" t="s">
        <v>897</v>
      </c>
      <c r="B5731" s="2" t="s">
        <v>1014</v>
      </c>
      <c r="C5731" s="5" t="s">
        <v>1040</v>
      </c>
      <c r="D5731" s="2" t="s">
        <v>1104</v>
      </c>
    </row>
    <row r="5732" spans="1:4" ht="13.05" customHeight="1" x14ac:dyDescent="0.3">
      <c r="A5732" s="2" t="s">
        <v>900</v>
      </c>
      <c r="B5732" s="2" t="s">
        <v>1014</v>
      </c>
      <c r="C5732" s="5" t="s">
        <v>1044</v>
      </c>
      <c r="D5732" s="2" t="s">
        <v>1045</v>
      </c>
    </row>
    <row r="5733" spans="1:4" ht="13.05" customHeight="1" x14ac:dyDescent="0.3">
      <c r="A5733" s="2" t="s">
        <v>900</v>
      </c>
      <c r="B5733" s="2" t="s">
        <v>1014</v>
      </c>
      <c r="C5733" s="5" t="s">
        <v>1015</v>
      </c>
      <c r="D5733" s="2" t="s">
        <v>1092</v>
      </c>
    </row>
    <row r="5734" spans="1:4" ht="13.05" customHeight="1" x14ac:dyDescent="0.3">
      <c r="A5734" s="2" t="s">
        <v>900</v>
      </c>
      <c r="B5734" s="2" t="s">
        <v>1014</v>
      </c>
      <c r="C5734" s="5" t="s">
        <v>1017</v>
      </c>
      <c r="D5734" s="2" t="s">
        <v>1018</v>
      </c>
    </row>
    <row r="5735" spans="1:4" ht="13.05" customHeight="1" x14ac:dyDescent="0.3">
      <c r="A5735" s="2" t="s">
        <v>900</v>
      </c>
      <c r="B5735" s="2" t="s">
        <v>1014</v>
      </c>
      <c r="C5735" s="5" t="s">
        <v>1019</v>
      </c>
      <c r="D5735" s="2" t="s">
        <v>1020</v>
      </c>
    </row>
    <row r="5736" spans="1:4" ht="13.05" customHeight="1" x14ac:dyDescent="0.3">
      <c r="A5736" s="2" t="s">
        <v>900</v>
      </c>
      <c r="B5736" s="2" t="s">
        <v>1014</v>
      </c>
      <c r="C5736" s="5" t="s">
        <v>1021</v>
      </c>
      <c r="D5736" s="2" t="s">
        <v>1098</v>
      </c>
    </row>
    <row r="5737" spans="1:4" ht="13.05" customHeight="1" x14ac:dyDescent="0.3">
      <c r="A5737" s="2" t="s">
        <v>900</v>
      </c>
      <c r="B5737" s="2" t="s">
        <v>1014</v>
      </c>
      <c r="C5737" s="5" t="s">
        <v>1023</v>
      </c>
      <c r="D5737" s="2" t="s">
        <v>1099</v>
      </c>
    </row>
    <row r="5738" spans="1:4" ht="13.05" customHeight="1" x14ac:dyDescent="0.3">
      <c r="A5738" s="2" t="s">
        <v>900</v>
      </c>
      <c r="B5738" s="2" t="s">
        <v>1014</v>
      </c>
      <c r="C5738" s="5" t="s">
        <v>1025</v>
      </c>
      <c r="D5738" s="2" t="s">
        <v>1100</v>
      </c>
    </row>
    <row r="5739" spans="1:4" ht="13.05" customHeight="1" x14ac:dyDescent="0.3">
      <c r="A5739" s="2" t="s">
        <v>900</v>
      </c>
      <c r="B5739" s="2" t="s">
        <v>1014</v>
      </c>
      <c r="C5739" s="5" t="s">
        <v>1027</v>
      </c>
      <c r="D5739" s="2" t="s">
        <v>6206</v>
      </c>
    </row>
    <row r="5740" spans="1:4" ht="13.05" customHeight="1" x14ac:dyDescent="0.3">
      <c r="A5740" s="2" t="s">
        <v>900</v>
      </c>
      <c r="B5740" s="2" t="s">
        <v>1014</v>
      </c>
      <c r="C5740" s="5" t="s">
        <v>1029</v>
      </c>
      <c r="D5740" s="2" t="s">
        <v>1102</v>
      </c>
    </row>
    <row r="5741" spans="1:4" ht="13.05" customHeight="1" x14ac:dyDescent="0.3">
      <c r="A5741" s="2" t="s">
        <v>900</v>
      </c>
      <c r="B5741" s="2" t="s">
        <v>1014</v>
      </c>
      <c r="C5741" s="5" t="s">
        <v>1031</v>
      </c>
      <c r="D5741" s="2" t="s">
        <v>1103</v>
      </c>
    </row>
    <row r="5742" spans="1:4" ht="13.05" customHeight="1" x14ac:dyDescent="0.3">
      <c r="A5742" s="2" t="s">
        <v>900</v>
      </c>
      <c r="B5742" s="2" t="s">
        <v>1014</v>
      </c>
      <c r="C5742" s="5" t="s">
        <v>1040</v>
      </c>
      <c r="D5742" s="2" t="s">
        <v>1104</v>
      </c>
    </row>
    <row r="5743" spans="1:4" ht="13.05" customHeight="1" x14ac:dyDescent="0.3">
      <c r="A5743" s="2" t="s">
        <v>902</v>
      </c>
      <c r="B5743" s="2" t="s">
        <v>1014</v>
      </c>
      <c r="C5743" s="5" t="s">
        <v>1044</v>
      </c>
      <c r="D5743" s="2" t="s">
        <v>1045</v>
      </c>
    </row>
    <row r="5744" spans="1:4" ht="13.05" customHeight="1" x14ac:dyDescent="0.3">
      <c r="A5744" s="2" t="s">
        <v>902</v>
      </c>
      <c r="B5744" s="2" t="s">
        <v>1014</v>
      </c>
      <c r="C5744" s="5" t="s">
        <v>1015</v>
      </c>
      <c r="D5744" s="2" t="s">
        <v>1092</v>
      </c>
    </row>
    <row r="5745" spans="1:4" ht="13.05" customHeight="1" x14ac:dyDescent="0.3">
      <c r="A5745" s="2" t="s">
        <v>902</v>
      </c>
      <c r="B5745" s="2" t="s">
        <v>1014</v>
      </c>
      <c r="C5745" s="5" t="s">
        <v>1017</v>
      </c>
      <c r="D5745" s="2" t="s">
        <v>1018</v>
      </c>
    </row>
    <row r="5746" spans="1:4" ht="13.05" customHeight="1" x14ac:dyDescent="0.3">
      <c r="A5746" s="2" t="s">
        <v>902</v>
      </c>
      <c r="B5746" s="2" t="s">
        <v>1014</v>
      </c>
      <c r="C5746" s="5" t="s">
        <v>1019</v>
      </c>
      <c r="D5746" s="2" t="s">
        <v>1020</v>
      </c>
    </row>
    <row r="5747" spans="1:4" ht="13.05" customHeight="1" x14ac:dyDescent="0.3">
      <c r="A5747" s="2" t="s">
        <v>902</v>
      </c>
      <c r="B5747" s="2" t="s">
        <v>1014</v>
      </c>
      <c r="C5747" s="5" t="s">
        <v>1021</v>
      </c>
      <c r="D5747" s="2" t="s">
        <v>1098</v>
      </c>
    </row>
    <row r="5748" spans="1:4" ht="13.05" customHeight="1" x14ac:dyDescent="0.3">
      <c r="A5748" s="2" t="s">
        <v>902</v>
      </c>
      <c r="B5748" s="2" t="s">
        <v>1014</v>
      </c>
      <c r="C5748" s="5" t="s">
        <v>1023</v>
      </c>
      <c r="D5748" s="2" t="s">
        <v>1099</v>
      </c>
    </row>
    <row r="5749" spans="1:4" ht="13.05" customHeight="1" x14ac:dyDescent="0.3">
      <c r="A5749" s="2" t="s">
        <v>902</v>
      </c>
      <c r="B5749" s="2" t="s">
        <v>1014</v>
      </c>
      <c r="C5749" s="5" t="s">
        <v>1025</v>
      </c>
      <c r="D5749" s="2" t="s">
        <v>1100</v>
      </c>
    </row>
    <row r="5750" spans="1:4" ht="13.05" customHeight="1" x14ac:dyDescent="0.3">
      <c r="A5750" s="2" t="s">
        <v>902</v>
      </c>
      <c r="B5750" s="2" t="s">
        <v>1014</v>
      </c>
      <c r="C5750" s="5" t="s">
        <v>1027</v>
      </c>
      <c r="D5750" s="2" t="s">
        <v>6206</v>
      </c>
    </row>
    <row r="5751" spans="1:4" ht="13.05" customHeight="1" x14ac:dyDescent="0.3">
      <c r="A5751" s="2" t="s">
        <v>902</v>
      </c>
      <c r="B5751" s="2" t="s">
        <v>1014</v>
      </c>
      <c r="C5751" s="5" t="s">
        <v>1029</v>
      </c>
      <c r="D5751" s="2" t="s">
        <v>1102</v>
      </c>
    </row>
    <row r="5752" spans="1:4" ht="13.05" customHeight="1" x14ac:dyDescent="0.3">
      <c r="A5752" s="2" t="s">
        <v>902</v>
      </c>
      <c r="B5752" s="2" t="s">
        <v>1014</v>
      </c>
      <c r="C5752" s="5" t="s">
        <v>1031</v>
      </c>
      <c r="D5752" s="2" t="s">
        <v>1103</v>
      </c>
    </row>
    <row r="5753" spans="1:4" ht="13.05" customHeight="1" x14ac:dyDescent="0.3">
      <c r="A5753" s="2" t="s">
        <v>902</v>
      </c>
      <c r="B5753" s="2" t="s">
        <v>1014</v>
      </c>
      <c r="C5753" s="5" t="s">
        <v>1040</v>
      </c>
      <c r="D5753" s="2" t="s">
        <v>1104</v>
      </c>
    </row>
    <row r="5754" spans="1:4" ht="13.05" customHeight="1" x14ac:dyDescent="0.3">
      <c r="A5754" s="2" t="s">
        <v>904</v>
      </c>
      <c r="B5754" s="2" t="s">
        <v>1014</v>
      </c>
      <c r="C5754" s="5" t="s">
        <v>1044</v>
      </c>
      <c r="D5754" s="2" t="s">
        <v>1045</v>
      </c>
    </row>
    <row r="5755" spans="1:4" ht="13.05" customHeight="1" x14ac:dyDescent="0.3">
      <c r="A5755" s="2" t="s">
        <v>904</v>
      </c>
      <c r="B5755" s="2" t="s">
        <v>1014</v>
      </c>
      <c r="C5755" s="5" t="s">
        <v>1015</v>
      </c>
      <c r="D5755" s="2" t="s">
        <v>1092</v>
      </c>
    </row>
    <row r="5756" spans="1:4" ht="13.05" customHeight="1" x14ac:dyDescent="0.3">
      <c r="A5756" s="2" t="s">
        <v>904</v>
      </c>
      <c r="B5756" s="2" t="s">
        <v>1014</v>
      </c>
      <c r="C5756" s="5" t="s">
        <v>1017</v>
      </c>
      <c r="D5756" s="2" t="s">
        <v>1018</v>
      </c>
    </row>
    <row r="5757" spans="1:4" ht="13.05" customHeight="1" x14ac:dyDescent="0.3">
      <c r="A5757" s="2" t="s">
        <v>904</v>
      </c>
      <c r="B5757" s="2" t="s">
        <v>1014</v>
      </c>
      <c r="C5757" s="5" t="s">
        <v>1019</v>
      </c>
      <c r="D5757" s="2" t="s">
        <v>1020</v>
      </c>
    </row>
    <row r="5758" spans="1:4" ht="13.05" customHeight="1" x14ac:dyDescent="0.3">
      <c r="A5758" s="2" t="s">
        <v>904</v>
      </c>
      <c r="B5758" s="2" t="s">
        <v>1014</v>
      </c>
      <c r="C5758" s="5" t="s">
        <v>1021</v>
      </c>
      <c r="D5758" s="2" t="s">
        <v>1098</v>
      </c>
    </row>
    <row r="5759" spans="1:4" ht="13.05" customHeight="1" x14ac:dyDescent="0.3">
      <c r="A5759" s="2" t="s">
        <v>904</v>
      </c>
      <c r="B5759" s="2" t="s">
        <v>1014</v>
      </c>
      <c r="C5759" s="5" t="s">
        <v>1023</v>
      </c>
      <c r="D5759" s="2" t="s">
        <v>1099</v>
      </c>
    </row>
    <row r="5760" spans="1:4" ht="13.05" customHeight="1" x14ac:dyDescent="0.3">
      <c r="A5760" s="2" t="s">
        <v>904</v>
      </c>
      <c r="B5760" s="2" t="s">
        <v>1014</v>
      </c>
      <c r="C5760" s="5" t="s">
        <v>1025</v>
      </c>
      <c r="D5760" s="2" t="s">
        <v>1100</v>
      </c>
    </row>
    <row r="5761" spans="1:4" ht="13.05" customHeight="1" x14ac:dyDescent="0.3">
      <c r="A5761" s="2" t="s">
        <v>904</v>
      </c>
      <c r="B5761" s="2" t="s">
        <v>1014</v>
      </c>
      <c r="C5761" s="5" t="s">
        <v>1027</v>
      </c>
      <c r="D5761" s="2" t="s">
        <v>6206</v>
      </c>
    </row>
    <row r="5762" spans="1:4" ht="13.05" customHeight="1" x14ac:dyDescent="0.3">
      <c r="A5762" s="2" t="s">
        <v>904</v>
      </c>
      <c r="B5762" s="2" t="s">
        <v>1014</v>
      </c>
      <c r="C5762" s="5" t="s">
        <v>1029</v>
      </c>
      <c r="D5762" s="2" t="s">
        <v>1102</v>
      </c>
    </row>
    <row r="5763" spans="1:4" ht="13.05" customHeight="1" x14ac:dyDescent="0.3">
      <c r="A5763" s="2" t="s">
        <v>904</v>
      </c>
      <c r="B5763" s="2" t="s">
        <v>1014</v>
      </c>
      <c r="C5763" s="5" t="s">
        <v>1031</v>
      </c>
      <c r="D5763" s="2" t="s">
        <v>1103</v>
      </c>
    </row>
    <row r="5764" spans="1:4" ht="13.05" customHeight="1" x14ac:dyDescent="0.3">
      <c r="A5764" s="2" t="s">
        <v>904</v>
      </c>
      <c r="B5764" s="2" t="s">
        <v>1014</v>
      </c>
      <c r="C5764" s="5" t="s">
        <v>1040</v>
      </c>
      <c r="D5764" s="2" t="s">
        <v>1104</v>
      </c>
    </row>
    <row r="5765" spans="1:4" ht="13.05" customHeight="1" x14ac:dyDescent="0.3">
      <c r="A5765" s="2" t="s">
        <v>906</v>
      </c>
      <c r="B5765" s="2" t="s">
        <v>1014</v>
      </c>
      <c r="C5765" s="5" t="s">
        <v>1044</v>
      </c>
      <c r="D5765" s="2" t="s">
        <v>1045</v>
      </c>
    </row>
    <row r="5766" spans="1:4" ht="13.05" customHeight="1" x14ac:dyDescent="0.3">
      <c r="A5766" s="2" t="s">
        <v>906</v>
      </c>
      <c r="B5766" s="2" t="s">
        <v>1014</v>
      </c>
      <c r="C5766" s="5" t="s">
        <v>1015</v>
      </c>
      <c r="D5766" s="2" t="s">
        <v>1092</v>
      </c>
    </row>
    <row r="5767" spans="1:4" ht="13.05" customHeight="1" x14ac:dyDescent="0.3">
      <c r="A5767" s="2" t="s">
        <v>906</v>
      </c>
      <c r="B5767" s="2" t="s">
        <v>1014</v>
      </c>
      <c r="C5767" s="5" t="s">
        <v>1017</v>
      </c>
      <c r="D5767" s="2" t="s">
        <v>1018</v>
      </c>
    </row>
    <row r="5768" spans="1:4" ht="13.05" customHeight="1" x14ac:dyDescent="0.3">
      <c r="A5768" s="2" t="s">
        <v>906</v>
      </c>
      <c r="B5768" s="2" t="s">
        <v>1014</v>
      </c>
      <c r="C5768" s="5" t="s">
        <v>1019</v>
      </c>
      <c r="D5768" s="2" t="s">
        <v>1020</v>
      </c>
    </row>
    <row r="5769" spans="1:4" ht="13.05" customHeight="1" x14ac:dyDescent="0.3">
      <c r="A5769" s="2" t="s">
        <v>906</v>
      </c>
      <c r="B5769" s="2" t="s">
        <v>1014</v>
      </c>
      <c r="C5769" s="5" t="s">
        <v>1021</v>
      </c>
      <c r="D5769" s="2" t="s">
        <v>1098</v>
      </c>
    </row>
    <row r="5770" spans="1:4" ht="13.05" customHeight="1" x14ac:dyDescent="0.3">
      <c r="A5770" s="2" t="s">
        <v>906</v>
      </c>
      <c r="B5770" s="2" t="s">
        <v>1014</v>
      </c>
      <c r="C5770" s="5" t="s">
        <v>1023</v>
      </c>
      <c r="D5770" s="2" t="s">
        <v>1099</v>
      </c>
    </row>
    <row r="5771" spans="1:4" ht="13.05" customHeight="1" x14ac:dyDescent="0.3">
      <c r="A5771" s="2" t="s">
        <v>906</v>
      </c>
      <c r="B5771" s="2" t="s">
        <v>1014</v>
      </c>
      <c r="C5771" s="5" t="s">
        <v>1025</v>
      </c>
      <c r="D5771" s="2" t="s">
        <v>1100</v>
      </c>
    </row>
    <row r="5772" spans="1:4" ht="13.05" customHeight="1" x14ac:dyDescent="0.3">
      <c r="A5772" s="2" t="s">
        <v>906</v>
      </c>
      <c r="B5772" s="2" t="s">
        <v>1014</v>
      </c>
      <c r="C5772" s="5" t="s">
        <v>1027</v>
      </c>
      <c r="D5772" s="2" t="s">
        <v>6206</v>
      </c>
    </row>
    <row r="5773" spans="1:4" ht="13.05" customHeight="1" x14ac:dyDescent="0.3">
      <c r="A5773" s="2" t="s">
        <v>906</v>
      </c>
      <c r="B5773" s="2" t="s">
        <v>1014</v>
      </c>
      <c r="C5773" s="5" t="s">
        <v>1029</v>
      </c>
      <c r="D5773" s="2" t="s">
        <v>1102</v>
      </c>
    </row>
    <row r="5774" spans="1:4" ht="13.05" customHeight="1" x14ac:dyDescent="0.3">
      <c r="A5774" s="2" t="s">
        <v>906</v>
      </c>
      <c r="B5774" s="2" t="s">
        <v>1014</v>
      </c>
      <c r="C5774" s="5" t="s">
        <v>1031</v>
      </c>
      <c r="D5774" s="2" t="s">
        <v>1103</v>
      </c>
    </row>
    <row r="5775" spans="1:4" ht="13.05" customHeight="1" x14ac:dyDescent="0.3">
      <c r="A5775" s="2" t="s">
        <v>906</v>
      </c>
      <c r="B5775" s="2" t="s">
        <v>1014</v>
      </c>
      <c r="C5775" s="5" t="s">
        <v>1040</v>
      </c>
      <c r="D5775" s="2" t="s">
        <v>1104</v>
      </c>
    </row>
    <row r="5776" spans="1:4" ht="13.05" customHeight="1" x14ac:dyDescent="0.3">
      <c r="A5776" s="2" t="s">
        <v>908</v>
      </c>
      <c r="B5776" s="2" t="s">
        <v>1014</v>
      </c>
      <c r="C5776" s="5" t="s">
        <v>1044</v>
      </c>
      <c r="D5776" s="2" t="s">
        <v>1045</v>
      </c>
    </row>
    <row r="5777" spans="1:4" ht="13.05" customHeight="1" x14ac:dyDescent="0.3">
      <c r="A5777" s="2" t="s">
        <v>908</v>
      </c>
      <c r="B5777" s="2" t="s">
        <v>1014</v>
      </c>
      <c r="C5777" s="5" t="s">
        <v>1015</v>
      </c>
      <c r="D5777" s="2" t="s">
        <v>1092</v>
      </c>
    </row>
    <row r="5778" spans="1:4" ht="13.05" customHeight="1" x14ac:dyDescent="0.3">
      <c r="A5778" s="2" t="s">
        <v>908</v>
      </c>
      <c r="B5778" s="2" t="s">
        <v>1014</v>
      </c>
      <c r="C5778" s="5" t="s">
        <v>1017</v>
      </c>
      <c r="D5778" s="2" t="s">
        <v>1018</v>
      </c>
    </row>
    <row r="5779" spans="1:4" ht="13.05" customHeight="1" x14ac:dyDescent="0.3">
      <c r="A5779" s="2" t="s">
        <v>908</v>
      </c>
      <c r="B5779" s="2" t="s">
        <v>1014</v>
      </c>
      <c r="C5779" s="5" t="s">
        <v>1019</v>
      </c>
      <c r="D5779" s="2" t="s">
        <v>1020</v>
      </c>
    </row>
    <row r="5780" spans="1:4" ht="13.05" customHeight="1" x14ac:dyDescent="0.3">
      <c r="A5780" s="2" t="s">
        <v>908</v>
      </c>
      <c r="B5780" s="2" t="s">
        <v>1014</v>
      </c>
      <c r="C5780" s="5" t="s">
        <v>1021</v>
      </c>
      <c r="D5780" s="2" t="s">
        <v>1098</v>
      </c>
    </row>
    <row r="5781" spans="1:4" ht="13.05" customHeight="1" x14ac:dyDescent="0.3">
      <c r="A5781" s="2" t="s">
        <v>908</v>
      </c>
      <c r="B5781" s="2" t="s">
        <v>1014</v>
      </c>
      <c r="C5781" s="5" t="s">
        <v>1023</v>
      </c>
      <c r="D5781" s="2" t="s">
        <v>1099</v>
      </c>
    </row>
    <row r="5782" spans="1:4" ht="13.05" customHeight="1" x14ac:dyDescent="0.3">
      <c r="A5782" s="2" t="s">
        <v>908</v>
      </c>
      <c r="B5782" s="2" t="s">
        <v>1014</v>
      </c>
      <c r="C5782" s="5" t="s">
        <v>1025</v>
      </c>
      <c r="D5782" s="2" t="s">
        <v>1100</v>
      </c>
    </row>
    <row r="5783" spans="1:4" ht="13.05" customHeight="1" x14ac:dyDescent="0.3">
      <c r="A5783" s="2" t="s">
        <v>908</v>
      </c>
      <c r="B5783" s="2" t="s">
        <v>1014</v>
      </c>
      <c r="C5783" s="5" t="s">
        <v>1027</v>
      </c>
      <c r="D5783" s="2" t="s">
        <v>6206</v>
      </c>
    </row>
    <row r="5784" spans="1:4" ht="13.05" customHeight="1" x14ac:dyDescent="0.3">
      <c r="A5784" s="2" t="s">
        <v>908</v>
      </c>
      <c r="B5784" s="2" t="s">
        <v>1014</v>
      </c>
      <c r="C5784" s="5" t="s">
        <v>1029</v>
      </c>
      <c r="D5784" s="2" t="s">
        <v>1102</v>
      </c>
    </row>
    <row r="5785" spans="1:4" ht="13.05" customHeight="1" x14ac:dyDescent="0.3">
      <c r="A5785" s="2" t="s">
        <v>908</v>
      </c>
      <c r="B5785" s="2" t="s">
        <v>1014</v>
      </c>
      <c r="C5785" s="5" t="s">
        <v>1031</v>
      </c>
      <c r="D5785" s="2" t="s">
        <v>1103</v>
      </c>
    </row>
    <row r="5786" spans="1:4" ht="13.05" customHeight="1" x14ac:dyDescent="0.3">
      <c r="A5786" s="2" t="s">
        <v>908</v>
      </c>
      <c r="B5786" s="2" t="s">
        <v>1014</v>
      </c>
      <c r="C5786" s="5" t="s">
        <v>1040</v>
      </c>
      <c r="D5786" s="2" t="s">
        <v>1104</v>
      </c>
    </row>
    <row r="5787" spans="1:4" ht="13.05" customHeight="1" x14ac:dyDescent="0.3">
      <c r="A5787" s="2" t="s">
        <v>910</v>
      </c>
      <c r="B5787" s="2" t="s">
        <v>1014</v>
      </c>
      <c r="C5787" s="5" t="s">
        <v>1044</v>
      </c>
      <c r="D5787" s="2" t="s">
        <v>1045</v>
      </c>
    </row>
    <row r="5788" spans="1:4" ht="13.05" customHeight="1" x14ac:dyDescent="0.3">
      <c r="A5788" s="2" t="s">
        <v>910</v>
      </c>
      <c r="B5788" s="2" t="s">
        <v>1014</v>
      </c>
      <c r="C5788" s="5" t="s">
        <v>1015</v>
      </c>
      <c r="D5788" s="2" t="s">
        <v>1092</v>
      </c>
    </row>
    <row r="5789" spans="1:4" ht="13.05" customHeight="1" x14ac:dyDescent="0.3">
      <c r="A5789" s="2" t="s">
        <v>910</v>
      </c>
      <c r="B5789" s="2" t="s">
        <v>1014</v>
      </c>
      <c r="C5789" s="5" t="s">
        <v>1017</v>
      </c>
      <c r="D5789" s="2" t="s">
        <v>1018</v>
      </c>
    </row>
    <row r="5790" spans="1:4" ht="13.05" customHeight="1" x14ac:dyDescent="0.3">
      <c r="A5790" s="2" t="s">
        <v>910</v>
      </c>
      <c r="B5790" s="2" t="s">
        <v>1014</v>
      </c>
      <c r="C5790" s="5" t="s">
        <v>1019</v>
      </c>
      <c r="D5790" s="2" t="s">
        <v>1020</v>
      </c>
    </row>
    <row r="5791" spans="1:4" ht="13.05" customHeight="1" x14ac:dyDescent="0.3">
      <c r="A5791" s="2" t="s">
        <v>910</v>
      </c>
      <c r="B5791" s="2" t="s">
        <v>1014</v>
      </c>
      <c r="C5791" s="5" t="s">
        <v>1021</v>
      </c>
      <c r="D5791" s="2" t="s">
        <v>1098</v>
      </c>
    </row>
    <row r="5792" spans="1:4" ht="13.05" customHeight="1" x14ac:dyDescent="0.3">
      <c r="A5792" s="2" t="s">
        <v>910</v>
      </c>
      <c r="B5792" s="2" t="s">
        <v>1014</v>
      </c>
      <c r="C5792" s="5" t="s">
        <v>1023</v>
      </c>
      <c r="D5792" s="2" t="s">
        <v>1099</v>
      </c>
    </row>
    <row r="5793" spans="1:4" ht="13.05" customHeight="1" x14ac:dyDescent="0.3">
      <c r="A5793" s="2" t="s">
        <v>910</v>
      </c>
      <c r="B5793" s="2" t="s">
        <v>1014</v>
      </c>
      <c r="C5793" s="5" t="s">
        <v>1025</v>
      </c>
      <c r="D5793" s="2" t="s">
        <v>1100</v>
      </c>
    </row>
    <row r="5794" spans="1:4" ht="13.05" customHeight="1" x14ac:dyDescent="0.3">
      <c r="A5794" s="2" t="s">
        <v>910</v>
      </c>
      <c r="B5794" s="2" t="s">
        <v>1014</v>
      </c>
      <c r="C5794" s="5" t="s">
        <v>1027</v>
      </c>
      <c r="D5794" s="2" t="s">
        <v>6206</v>
      </c>
    </row>
    <row r="5795" spans="1:4" ht="13.05" customHeight="1" x14ac:dyDescent="0.3">
      <c r="A5795" s="2" t="s">
        <v>910</v>
      </c>
      <c r="B5795" s="2" t="s">
        <v>1014</v>
      </c>
      <c r="C5795" s="5" t="s">
        <v>1029</v>
      </c>
      <c r="D5795" s="2" t="s">
        <v>1102</v>
      </c>
    </row>
    <row r="5796" spans="1:4" ht="13.05" customHeight="1" x14ac:dyDescent="0.3">
      <c r="A5796" s="2" t="s">
        <v>910</v>
      </c>
      <c r="B5796" s="2" t="s">
        <v>1014</v>
      </c>
      <c r="C5796" s="5" t="s">
        <v>1031</v>
      </c>
      <c r="D5796" s="2" t="s">
        <v>1103</v>
      </c>
    </row>
    <row r="5797" spans="1:4" ht="13.05" customHeight="1" x14ac:dyDescent="0.3">
      <c r="A5797" s="2" t="s">
        <v>910</v>
      </c>
      <c r="B5797" s="2" t="s">
        <v>1014</v>
      </c>
      <c r="C5797" s="5" t="s">
        <v>1040</v>
      </c>
      <c r="D5797" s="2" t="s">
        <v>1104</v>
      </c>
    </row>
    <row r="5798" spans="1:4" ht="13.05" customHeight="1" x14ac:dyDescent="0.3">
      <c r="A5798" s="2" t="s">
        <v>912</v>
      </c>
      <c r="B5798" s="2" t="s">
        <v>1014</v>
      </c>
      <c r="C5798" s="5" t="s">
        <v>1044</v>
      </c>
      <c r="D5798" s="2" t="s">
        <v>1045</v>
      </c>
    </row>
    <row r="5799" spans="1:4" ht="13.05" customHeight="1" x14ac:dyDescent="0.3">
      <c r="A5799" s="2" t="s">
        <v>912</v>
      </c>
      <c r="B5799" s="2" t="s">
        <v>1014</v>
      </c>
      <c r="C5799" s="5" t="s">
        <v>1015</v>
      </c>
      <c r="D5799" s="2" t="s">
        <v>1092</v>
      </c>
    </row>
    <row r="5800" spans="1:4" ht="13.05" customHeight="1" x14ac:dyDescent="0.3">
      <c r="A5800" s="2" t="s">
        <v>912</v>
      </c>
      <c r="B5800" s="2" t="s">
        <v>1014</v>
      </c>
      <c r="C5800" s="5" t="s">
        <v>1017</v>
      </c>
      <c r="D5800" s="2" t="s">
        <v>1018</v>
      </c>
    </row>
    <row r="5801" spans="1:4" ht="13.05" customHeight="1" x14ac:dyDescent="0.3">
      <c r="A5801" s="2" t="s">
        <v>912</v>
      </c>
      <c r="B5801" s="2" t="s">
        <v>1014</v>
      </c>
      <c r="C5801" s="5" t="s">
        <v>1019</v>
      </c>
      <c r="D5801" s="2" t="s">
        <v>1020</v>
      </c>
    </row>
    <row r="5802" spans="1:4" ht="13.05" customHeight="1" x14ac:dyDescent="0.3">
      <c r="A5802" s="2" t="s">
        <v>912</v>
      </c>
      <c r="B5802" s="2" t="s">
        <v>1014</v>
      </c>
      <c r="C5802" s="5" t="s">
        <v>1021</v>
      </c>
      <c r="D5802" s="2" t="s">
        <v>1098</v>
      </c>
    </row>
    <row r="5803" spans="1:4" ht="13.05" customHeight="1" x14ac:dyDescent="0.3">
      <c r="A5803" s="2" t="s">
        <v>912</v>
      </c>
      <c r="B5803" s="2" t="s">
        <v>1014</v>
      </c>
      <c r="C5803" s="5" t="s">
        <v>1023</v>
      </c>
      <c r="D5803" s="2" t="s">
        <v>1099</v>
      </c>
    </row>
    <row r="5804" spans="1:4" ht="13.05" customHeight="1" x14ac:dyDescent="0.3">
      <c r="A5804" s="2" t="s">
        <v>912</v>
      </c>
      <c r="B5804" s="2" t="s">
        <v>1014</v>
      </c>
      <c r="C5804" s="5" t="s">
        <v>1025</v>
      </c>
      <c r="D5804" s="2" t="s">
        <v>1100</v>
      </c>
    </row>
    <row r="5805" spans="1:4" ht="13.05" customHeight="1" x14ac:dyDescent="0.3">
      <c r="A5805" s="2" t="s">
        <v>912</v>
      </c>
      <c r="B5805" s="2" t="s">
        <v>1014</v>
      </c>
      <c r="C5805" s="5" t="s">
        <v>1027</v>
      </c>
      <c r="D5805" s="2" t="s">
        <v>6206</v>
      </c>
    </row>
    <row r="5806" spans="1:4" ht="13.05" customHeight="1" x14ac:dyDescent="0.3">
      <c r="A5806" s="2" t="s">
        <v>912</v>
      </c>
      <c r="B5806" s="2" t="s">
        <v>1014</v>
      </c>
      <c r="C5806" s="5" t="s">
        <v>1029</v>
      </c>
      <c r="D5806" s="2" t="s">
        <v>1102</v>
      </c>
    </row>
    <row r="5807" spans="1:4" ht="13.05" customHeight="1" x14ac:dyDescent="0.3">
      <c r="A5807" s="2" t="s">
        <v>912</v>
      </c>
      <c r="B5807" s="2" t="s">
        <v>1014</v>
      </c>
      <c r="C5807" s="5" t="s">
        <v>1031</v>
      </c>
      <c r="D5807" s="2" t="s">
        <v>1103</v>
      </c>
    </row>
    <row r="5808" spans="1:4" ht="13.05" customHeight="1" x14ac:dyDescent="0.3">
      <c r="A5808" s="2" t="s">
        <v>912</v>
      </c>
      <c r="B5808" s="2" t="s">
        <v>1014</v>
      </c>
      <c r="C5808" s="5" t="s">
        <v>1040</v>
      </c>
      <c r="D5808" s="2" t="s">
        <v>1104</v>
      </c>
    </row>
    <row r="5809" spans="1:4" ht="13.05" customHeight="1" x14ac:dyDescent="0.3">
      <c r="A5809" s="2" t="s">
        <v>914</v>
      </c>
      <c r="B5809" s="2" t="s">
        <v>1014</v>
      </c>
      <c r="C5809" s="5" t="s">
        <v>1044</v>
      </c>
      <c r="D5809" s="2" t="s">
        <v>1045</v>
      </c>
    </row>
    <row r="5810" spans="1:4" ht="13.05" customHeight="1" x14ac:dyDescent="0.3">
      <c r="A5810" s="2" t="s">
        <v>914</v>
      </c>
      <c r="B5810" s="2" t="s">
        <v>1014</v>
      </c>
      <c r="C5810" s="5" t="s">
        <v>1015</v>
      </c>
      <c r="D5810" s="2" t="s">
        <v>1092</v>
      </c>
    </row>
    <row r="5811" spans="1:4" ht="13.05" customHeight="1" x14ac:dyDescent="0.3">
      <c r="A5811" s="2" t="s">
        <v>914</v>
      </c>
      <c r="B5811" s="2" t="s">
        <v>1014</v>
      </c>
      <c r="C5811" s="5" t="s">
        <v>1017</v>
      </c>
      <c r="D5811" s="2" t="s">
        <v>1018</v>
      </c>
    </row>
    <row r="5812" spans="1:4" ht="13.05" customHeight="1" x14ac:dyDescent="0.3">
      <c r="A5812" s="2" t="s">
        <v>914</v>
      </c>
      <c r="B5812" s="2" t="s">
        <v>1014</v>
      </c>
      <c r="C5812" s="5" t="s">
        <v>1019</v>
      </c>
      <c r="D5812" s="2" t="s">
        <v>1020</v>
      </c>
    </row>
    <row r="5813" spans="1:4" ht="13.05" customHeight="1" x14ac:dyDescent="0.3">
      <c r="A5813" s="2" t="s">
        <v>914</v>
      </c>
      <c r="B5813" s="2" t="s">
        <v>1014</v>
      </c>
      <c r="C5813" s="5" t="s">
        <v>1021</v>
      </c>
      <c r="D5813" s="2" t="s">
        <v>1098</v>
      </c>
    </row>
    <row r="5814" spans="1:4" ht="13.05" customHeight="1" x14ac:dyDescent="0.3">
      <c r="A5814" s="2" t="s">
        <v>914</v>
      </c>
      <c r="B5814" s="2" t="s">
        <v>1014</v>
      </c>
      <c r="C5814" s="5" t="s">
        <v>1023</v>
      </c>
      <c r="D5814" s="2" t="s">
        <v>1099</v>
      </c>
    </row>
    <row r="5815" spans="1:4" ht="13.05" customHeight="1" x14ac:dyDescent="0.3">
      <c r="A5815" s="2" t="s">
        <v>914</v>
      </c>
      <c r="B5815" s="2" t="s">
        <v>1014</v>
      </c>
      <c r="C5815" s="5" t="s">
        <v>1025</v>
      </c>
      <c r="D5815" s="2" t="s">
        <v>1100</v>
      </c>
    </row>
    <row r="5816" spans="1:4" ht="13.05" customHeight="1" x14ac:dyDescent="0.3">
      <c r="A5816" s="2" t="s">
        <v>914</v>
      </c>
      <c r="B5816" s="2" t="s">
        <v>1014</v>
      </c>
      <c r="C5816" s="5" t="s">
        <v>1027</v>
      </c>
      <c r="D5816" s="2" t="s">
        <v>6206</v>
      </c>
    </row>
    <row r="5817" spans="1:4" ht="13.05" customHeight="1" x14ac:dyDescent="0.3">
      <c r="A5817" s="2" t="s">
        <v>914</v>
      </c>
      <c r="B5817" s="2" t="s">
        <v>1014</v>
      </c>
      <c r="C5817" s="5" t="s">
        <v>1029</v>
      </c>
      <c r="D5817" s="2" t="s">
        <v>1102</v>
      </c>
    </row>
    <row r="5818" spans="1:4" ht="13.05" customHeight="1" x14ac:dyDescent="0.3">
      <c r="A5818" s="2" t="s">
        <v>914</v>
      </c>
      <c r="B5818" s="2" t="s">
        <v>1014</v>
      </c>
      <c r="C5818" s="5" t="s">
        <v>1031</v>
      </c>
      <c r="D5818" s="2" t="s">
        <v>1103</v>
      </c>
    </row>
    <row r="5819" spans="1:4" ht="13.05" customHeight="1" x14ac:dyDescent="0.3">
      <c r="A5819" s="2" t="s">
        <v>914</v>
      </c>
      <c r="B5819" s="2" t="s">
        <v>1014</v>
      </c>
      <c r="C5819" s="5" t="s">
        <v>1040</v>
      </c>
      <c r="D5819" s="2" t="s">
        <v>1104</v>
      </c>
    </row>
    <row r="5820" spans="1:4" ht="13.05" customHeight="1" x14ac:dyDescent="0.3">
      <c r="A5820" s="2" t="s">
        <v>916</v>
      </c>
      <c r="B5820" s="2" t="s">
        <v>1014</v>
      </c>
      <c r="C5820" s="5" t="s">
        <v>1044</v>
      </c>
      <c r="D5820" s="2" t="s">
        <v>1045</v>
      </c>
    </row>
    <row r="5821" spans="1:4" ht="13.05" customHeight="1" x14ac:dyDescent="0.3">
      <c r="A5821" s="2" t="s">
        <v>916</v>
      </c>
      <c r="B5821" s="2" t="s">
        <v>1014</v>
      </c>
      <c r="C5821" s="5" t="s">
        <v>1015</v>
      </c>
      <c r="D5821" s="2" t="s">
        <v>1016</v>
      </c>
    </row>
    <row r="5822" spans="1:4" ht="13.05" customHeight="1" x14ac:dyDescent="0.3">
      <c r="A5822" s="2" t="s">
        <v>916</v>
      </c>
      <c r="B5822" s="2" t="s">
        <v>1014</v>
      </c>
      <c r="C5822" s="5" t="s">
        <v>1017</v>
      </c>
      <c r="D5822" s="2" t="s">
        <v>1018</v>
      </c>
    </row>
    <row r="5823" spans="1:4" ht="13.05" customHeight="1" x14ac:dyDescent="0.3">
      <c r="A5823" s="2" t="s">
        <v>916</v>
      </c>
      <c r="B5823" s="2" t="s">
        <v>1014</v>
      </c>
      <c r="C5823" s="5" t="s">
        <v>1019</v>
      </c>
      <c r="D5823" s="2" t="s">
        <v>1020</v>
      </c>
    </row>
    <row r="5824" spans="1:4" ht="13.05" customHeight="1" x14ac:dyDescent="0.3">
      <c r="A5824" s="2" t="s">
        <v>916</v>
      </c>
      <c r="B5824" s="2" t="s">
        <v>1014</v>
      </c>
      <c r="C5824" s="5" t="s">
        <v>1219</v>
      </c>
      <c r="D5824" s="2" t="s">
        <v>1104</v>
      </c>
    </row>
    <row r="5825" spans="1:4" ht="13.05" customHeight="1" x14ac:dyDescent="0.3">
      <c r="A5825" s="2" t="s">
        <v>916</v>
      </c>
      <c r="B5825" s="2" t="s">
        <v>1014</v>
      </c>
      <c r="C5825" s="5" t="s">
        <v>1021</v>
      </c>
      <c r="D5825" s="2" t="s">
        <v>3302</v>
      </c>
    </row>
    <row r="5826" spans="1:4" ht="13.05" customHeight="1" x14ac:dyDescent="0.3">
      <c r="A5826" s="2" t="s">
        <v>916</v>
      </c>
      <c r="B5826" s="2" t="s">
        <v>1014</v>
      </c>
      <c r="C5826" s="5" t="s">
        <v>1023</v>
      </c>
      <c r="D5826" s="2" t="s">
        <v>3303</v>
      </c>
    </row>
    <row r="5827" spans="1:4" ht="13.05" customHeight="1" x14ac:dyDescent="0.3">
      <c r="A5827" s="2" t="s">
        <v>916</v>
      </c>
      <c r="B5827" s="2" t="s">
        <v>1014</v>
      </c>
      <c r="C5827" s="5" t="s">
        <v>1025</v>
      </c>
      <c r="D5827" s="2" t="s">
        <v>3304</v>
      </c>
    </row>
    <row r="5828" spans="1:4" ht="13.05" customHeight="1" x14ac:dyDescent="0.3">
      <c r="A5828" s="2" t="s">
        <v>916</v>
      </c>
      <c r="B5828" s="2" t="s">
        <v>1014</v>
      </c>
      <c r="C5828" s="5" t="s">
        <v>1027</v>
      </c>
      <c r="D5828" s="2" t="s">
        <v>3305</v>
      </c>
    </row>
    <row r="5829" spans="1:4" ht="13.05" customHeight="1" x14ac:dyDescent="0.3">
      <c r="A5829" s="2" t="s">
        <v>916</v>
      </c>
      <c r="B5829" s="2" t="s">
        <v>1014</v>
      </c>
      <c r="C5829" s="5" t="s">
        <v>1029</v>
      </c>
      <c r="D5829" s="2" t="s">
        <v>3306</v>
      </c>
    </row>
    <row r="5830" spans="1:4" ht="13.05" customHeight="1" x14ac:dyDescent="0.3">
      <c r="A5830" s="2" t="s">
        <v>916</v>
      </c>
      <c r="B5830" s="2" t="s">
        <v>1014</v>
      </c>
      <c r="C5830" s="5" t="s">
        <v>1031</v>
      </c>
      <c r="D5830" s="2" t="s">
        <v>3307</v>
      </c>
    </row>
    <row r="5831" spans="1:4" ht="13.05" customHeight="1" x14ac:dyDescent="0.3">
      <c r="A5831" s="2" t="s">
        <v>916</v>
      </c>
      <c r="B5831" s="2" t="s">
        <v>1014</v>
      </c>
      <c r="C5831" s="5" t="s">
        <v>1040</v>
      </c>
      <c r="D5831" s="2" t="s">
        <v>3308</v>
      </c>
    </row>
    <row r="5832" spans="1:4" ht="13.05" customHeight="1" x14ac:dyDescent="0.3">
      <c r="A5832" s="2" t="s">
        <v>916</v>
      </c>
      <c r="B5832" s="2" t="s">
        <v>1014</v>
      </c>
      <c r="C5832" s="5" t="s">
        <v>1042</v>
      </c>
      <c r="D5832" s="2" t="s">
        <v>3309</v>
      </c>
    </row>
    <row r="5833" spans="1:4" ht="13.05" customHeight="1" x14ac:dyDescent="0.3">
      <c r="A5833" s="2" t="s">
        <v>916</v>
      </c>
      <c r="B5833" s="2" t="s">
        <v>1014</v>
      </c>
      <c r="C5833" s="5" t="s">
        <v>1052</v>
      </c>
      <c r="D5833" s="2" t="s">
        <v>1083</v>
      </c>
    </row>
    <row r="5834" spans="1:4" ht="13.05" customHeight="1" x14ac:dyDescent="0.3">
      <c r="A5834" s="2" t="s">
        <v>918</v>
      </c>
      <c r="B5834" s="2" t="s">
        <v>1014</v>
      </c>
      <c r="C5834" s="5" t="s">
        <v>1044</v>
      </c>
      <c r="D5834" s="2" t="s">
        <v>1045</v>
      </c>
    </row>
    <row r="5835" spans="1:4" ht="13.05" customHeight="1" x14ac:dyDescent="0.3">
      <c r="A5835" s="2" t="s">
        <v>918</v>
      </c>
      <c r="B5835" s="2" t="s">
        <v>1014</v>
      </c>
      <c r="C5835" s="5" t="s">
        <v>1015</v>
      </c>
      <c r="D5835" s="2" t="s">
        <v>1016</v>
      </c>
    </row>
    <row r="5836" spans="1:4" ht="13.05" customHeight="1" x14ac:dyDescent="0.3">
      <c r="A5836" s="2" t="s">
        <v>918</v>
      </c>
      <c r="B5836" s="2" t="s">
        <v>1014</v>
      </c>
      <c r="C5836" s="5" t="s">
        <v>1017</v>
      </c>
      <c r="D5836" s="2" t="s">
        <v>1018</v>
      </c>
    </row>
    <row r="5837" spans="1:4" ht="13.05" customHeight="1" x14ac:dyDescent="0.3">
      <c r="A5837" s="2" t="s">
        <v>918</v>
      </c>
      <c r="B5837" s="2" t="s">
        <v>1014</v>
      </c>
      <c r="C5837" s="5" t="s">
        <v>1019</v>
      </c>
      <c r="D5837" s="2" t="s">
        <v>1020</v>
      </c>
    </row>
    <row r="5838" spans="1:4" ht="13.05" customHeight="1" x14ac:dyDescent="0.3">
      <c r="A5838" s="2" t="s">
        <v>918</v>
      </c>
      <c r="B5838" s="2" t="s">
        <v>1014</v>
      </c>
      <c r="C5838" s="5" t="s">
        <v>1219</v>
      </c>
      <c r="D5838" s="2" t="s">
        <v>1104</v>
      </c>
    </row>
    <row r="5839" spans="1:4" ht="13.05" customHeight="1" x14ac:dyDescent="0.3">
      <c r="A5839" s="2" t="s">
        <v>918</v>
      </c>
      <c r="B5839" s="2" t="s">
        <v>1014</v>
      </c>
      <c r="C5839" s="5" t="s">
        <v>1021</v>
      </c>
      <c r="D5839" s="2" t="s">
        <v>3302</v>
      </c>
    </row>
    <row r="5840" spans="1:4" ht="13.05" customHeight="1" x14ac:dyDescent="0.3">
      <c r="A5840" s="2" t="s">
        <v>918</v>
      </c>
      <c r="B5840" s="2" t="s">
        <v>1014</v>
      </c>
      <c r="C5840" s="5" t="s">
        <v>1023</v>
      </c>
      <c r="D5840" s="2" t="s">
        <v>3303</v>
      </c>
    </row>
    <row r="5841" spans="1:4" ht="13.05" customHeight="1" x14ac:dyDescent="0.3">
      <c r="A5841" s="2" t="s">
        <v>918</v>
      </c>
      <c r="B5841" s="2" t="s">
        <v>1014</v>
      </c>
      <c r="C5841" s="5" t="s">
        <v>1025</v>
      </c>
      <c r="D5841" s="2" t="s">
        <v>3304</v>
      </c>
    </row>
    <row r="5842" spans="1:4" ht="13.05" customHeight="1" x14ac:dyDescent="0.3">
      <c r="A5842" s="2" t="s">
        <v>918</v>
      </c>
      <c r="B5842" s="2" t="s">
        <v>1014</v>
      </c>
      <c r="C5842" s="5" t="s">
        <v>1027</v>
      </c>
      <c r="D5842" s="2" t="s">
        <v>3305</v>
      </c>
    </row>
    <row r="5843" spans="1:4" ht="13.05" customHeight="1" x14ac:dyDescent="0.3">
      <c r="A5843" s="2" t="s">
        <v>918</v>
      </c>
      <c r="B5843" s="2" t="s">
        <v>1014</v>
      </c>
      <c r="C5843" s="5" t="s">
        <v>1029</v>
      </c>
      <c r="D5843" s="2" t="s">
        <v>3306</v>
      </c>
    </row>
    <row r="5844" spans="1:4" ht="13.05" customHeight="1" x14ac:dyDescent="0.3">
      <c r="A5844" s="2" t="s">
        <v>918</v>
      </c>
      <c r="B5844" s="2" t="s">
        <v>1014</v>
      </c>
      <c r="C5844" s="5" t="s">
        <v>1031</v>
      </c>
      <c r="D5844" s="2" t="s">
        <v>3307</v>
      </c>
    </row>
    <row r="5845" spans="1:4" ht="13.05" customHeight="1" x14ac:dyDescent="0.3">
      <c r="A5845" s="2" t="s">
        <v>918</v>
      </c>
      <c r="B5845" s="2" t="s">
        <v>1014</v>
      </c>
      <c r="C5845" s="5" t="s">
        <v>1040</v>
      </c>
      <c r="D5845" s="2" t="s">
        <v>3308</v>
      </c>
    </row>
    <row r="5846" spans="1:4" ht="13.05" customHeight="1" x14ac:dyDescent="0.3">
      <c r="A5846" s="2" t="s">
        <v>918</v>
      </c>
      <c r="B5846" s="2" t="s">
        <v>1014</v>
      </c>
      <c r="C5846" s="5" t="s">
        <v>1042</v>
      </c>
      <c r="D5846" s="2" t="s">
        <v>3309</v>
      </c>
    </row>
    <row r="5847" spans="1:4" ht="13.05" customHeight="1" x14ac:dyDescent="0.3">
      <c r="A5847" s="2" t="s">
        <v>918</v>
      </c>
      <c r="B5847" s="2" t="s">
        <v>1014</v>
      </c>
      <c r="C5847" s="5" t="s">
        <v>1052</v>
      </c>
      <c r="D5847" s="2" t="s">
        <v>1083</v>
      </c>
    </row>
    <row r="5848" spans="1:4" ht="13.05" customHeight="1" x14ac:dyDescent="0.3">
      <c r="A5848" s="2" t="s">
        <v>920</v>
      </c>
      <c r="B5848" s="2" t="s">
        <v>1014</v>
      </c>
      <c r="C5848" s="5" t="s">
        <v>1044</v>
      </c>
      <c r="D5848" s="2" t="s">
        <v>1045</v>
      </c>
    </row>
    <row r="5849" spans="1:4" ht="13.05" customHeight="1" x14ac:dyDescent="0.3">
      <c r="A5849" s="2" t="s">
        <v>920</v>
      </c>
      <c r="B5849" s="2" t="s">
        <v>1014</v>
      </c>
      <c r="C5849" s="5" t="s">
        <v>1015</v>
      </c>
      <c r="D5849" s="2" t="s">
        <v>1016</v>
      </c>
    </row>
    <row r="5850" spans="1:4" ht="13.05" customHeight="1" x14ac:dyDescent="0.3">
      <c r="A5850" s="2" t="s">
        <v>920</v>
      </c>
      <c r="B5850" s="2" t="s">
        <v>1014</v>
      </c>
      <c r="C5850" s="5" t="s">
        <v>1017</v>
      </c>
      <c r="D5850" s="2" t="s">
        <v>1018</v>
      </c>
    </row>
    <row r="5851" spans="1:4" ht="13.05" customHeight="1" x14ac:dyDescent="0.3">
      <c r="A5851" s="2" t="s">
        <v>920</v>
      </c>
      <c r="B5851" s="2" t="s">
        <v>1014</v>
      </c>
      <c r="C5851" s="5" t="s">
        <v>1019</v>
      </c>
      <c r="D5851" s="2" t="s">
        <v>1020</v>
      </c>
    </row>
    <row r="5852" spans="1:4" ht="13.05" customHeight="1" x14ac:dyDescent="0.3">
      <c r="A5852" s="2" t="s">
        <v>920</v>
      </c>
      <c r="B5852" s="2" t="s">
        <v>1014</v>
      </c>
      <c r="C5852" s="5" t="s">
        <v>1219</v>
      </c>
      <c r="D5852" s="2" t="s">
        <v>1104</v>
      </c>
    </row>
    <row r="5853" spans="1:4" ht="13.05" customHeight="1" x14ac:dyDescent="0.3">
      <c r="A5853" s="2" t="s">
        <v>920</v>
      </c>
      <c r="B5853" s="2" t="s">
        <v>1014</v>
      </c>
      <c r="C5853" s="5" t="s">
        <v>1021</v>
      </c>
      <c r="D5853" s="2" t="s">
        <v>3302</v>
      </c>
    </row>
    <row r="5854" spans="1:4" ht="13.05" customHeight="1" x14ac:dyDescent="0.3">
      <c r="A5854" s="2" t="s">
        <v>920</v>
      </c>
      <c r="B5854" s="2" t="s">
        <v>1014</v>
      </c>
      <c r="C5854" s="5" t="s">
        <v>1023</v>
      </c>
      <c r="D5854" s="2" t="s">
        <v>3303</v>
      </c>
    </row>
    <row r="5855" spans="1:4" ht="13.05" customHeight="1" x14ac:dyDescent="0.3">
      <c r="A5855" s="2" t="s">
        <v>920</v>
      </c>
      <c r="B5855" s="2" t="s">
        <v>1014</v>
      </c>
      <c r="C5855" s="5" t="s">
        <v>1025</v>
      </c>
      <c r="D5855" s="2" t="s">
        <v>3304</v>
      </c>
    </row>
    <row r="5856" spans="1:4" ht="13.05" customHeight="1" x14ac:dyDescent="0.3">
      <c r="A5856" s="2" t="s">
        <v>920</v>
      </c>
      <c r="B5856" s="2" t="s">
        <v>1014</v>
      </c>
      <c r="C5856" s="5" t="s">
        <v>1027</v>
      </c>
      <c r="D5856" s="2" t="s">
        <v>3305</v>
      </c>
    </row>
    <row r="5857" spans="1:4" ht="13.05" customHeight="1" x14ac:dyDescent="0.3">
      <c r="A5857" s="2" t="s">
        <v>920</v>
      </c>
      <c r="B5857" s="2" t="s">
        <v>1014</v>
      </c>
      <c r="C5857" s="5" t="s">
        <v>1029</v>
      </c>
      <c r="D5857" s="2" t="s">
        <v>3306</v>
      </c>
    </row>
    <row r="5858" spans="1:4" ht="13.05" customHeight="1" x14ac:dyDescent="0.3">
      <c r="A5858" s="2" t="s">
        <v>920</v>
      </c>
      <c r="B5858" s="2" t="s">
        <v>1014</v>
      </c>
      <c r="C5858" s="5" t="s">
        <v>1031</v>
      </c>
      <c r="D5858" s="2" t="s">
        <v>3307</v>
      </c>
    </row>
    <row r="5859" spans="1:4" ht="13.05" customHeight="1" x14ac:dyDescent="0.3">
      <c r="A5859" s="2" t="s">
        <v>920</v>
      </c>
      <c r="B5859" s="2" t="s">
        <v>1014</v>
      </c>
      <c r="C5859" s="5" t="s">
        <v>1040</v>
      </c>
      <c r="D5859" s="2" t="s">
        <v>3308</v>
      </c>
    </row>
    <row r="5860" spans="1:4" ht="13.05" customHeight="1" x14ac:dyDescent="0.3">
      <c r="A5860" s="2" t="s">
        <v>920</v>
      </c>
      <c r="B5860" s="2" t="s">
        <v>1014</v>
      </c>
      <c r="C5860" s="5" t="s">
        <v>1042</v>
      </c>
      <c r="D5860" s="2" t="s">
        <v>3309</v>
      </c>
    </row>
    <row r="5861" spans="1:4" ht="13.05" customHeight="1" x14ac:dyDescent="0.3">
      <c r="A5861" s="2" t="s">
        <v>920</v>
      </c>
      <c r="B5861" s="2" t="s">
        <v>1014</v>
      </c>
      <c r="C5861" s="5" t="s">
        <v>1052</v>
      </c>
      <c r="D5861" s="2" t="s">
        <v>1083</v>
      </c>
    </row>
    <row r="5862" spans="1:4" ht="13.05" customHeight="1" x14ac:dyDescent="0.3">
      <c r="A5862" s="2" t="s">
        <v>922</v>
      </c>
      <c r="B5862" s="2" t="s">
        <v>1014</v>
      </c>
      <c r="C5862" s="5" t="s">
        <v>1044</v>
      </c>
      <c r="D5862" s="2" t="s">
        <v>1045</v>
      </c>
    </row>
    <row r="5863" spans="1:4" ht="13.05" customHeight="1" x14ac:dyDescent="0.3">
      <c r="A5863" s="2" t="s">
        <v>922</v>
      </c>
      <c r="B5863" s="2" t="s">
        <v>1014</v>
      </c>
      <c r="C5863" s="5" t="s">
        <v>1015</v>
      </c>
      <c r="D5863" s="2" t="s">
        <v>1016</v>
      </c>
    </row>
    <row r="5864" spans="1:4" ht="13.05" customHeight="1" x14ac:dyDescent="0.3">
      <c r="A5864" s="2" t="s">
        <v>922</v>
      </c>
      <c r="B5864" s="2" t="s">
        <v>1014</v>
      </c>
      <c r="C5864" s="5" t="s">
        <v>1017</v>
      </c>
      <c r="D5864" s="2" t="s">
        <v>1018</v>
      </c>
    </row>
    <row r="5865" spans="1:4" ht="13.05" customHeight="1" x14ac:dyDescent="0.3">
      <c r="A5865" s="2" t="s">
        <v>922</v>
      </c>
      <c r="B5865" s="2" t="s">
        <v>1014</v>
      </c>
      <c r="C5865" s="5" t="s">
        <v>1019</v>
      </c>
      <c r="D5865" s="2" t="s">
        <v>1020</v>
      </c>
    </row>
    <row r="5866" spans="1:4" ht="13.05" customHeight="1" x14ac:dyDescent="0.3">
      <c r="A5866" s="2" t="s">
        <v>922</v>
      </c>
      <c r="B5866" s="2" t="s">
        <v>1014</v>
      </c>
      <c r="C5866" s="5" t="s">
        <v>1219</v>
      </c>
      <c r="D5866" s="2" t="s">
        <v>1104</v>
      </c>
    </row>
    <row r="5867" spans="1:4" ht="13.05" customHeight="1" x14ac:dyDescent="0.3">
      <c r="A5867" s="2" t="s">
        <v>922</v>
      </c>
      <c r="B5867" s="2" t="s">
        <v>1014</v>
      </c>
      <c r="C5867" s="5" t="s">
        <v>1021</v>
      </c>
      <c r="D5867" s="2" t="s">
        <v>3302</v>
      </c>
    </row>
    <row r="5868" spans="1:4" ht="13.05" customHeight="1" x14ac:dyDescent="0.3">
      <c r="A5868" s="2" t="s">
        <v>922</v>
      </c>
      <c r="B5868" s="2" t="s">
        <v>1014</v>
      </c>
      <c r="C5868" s="5" t="s">
        <v>1023</v>
      </c>
      <c r="D5868" s="2" t="s">
        <v>3303</v>
      </c>
    </row>
    <row r="5869" spans="1:4" ht="13.05" customHeight="1" x14ac:dyDescent="0.3">
      <c r="A5869" s="2" t="s">
        <v>922</v>
      </c>
      <c r="B5869" s="2" t="s">
        <v>1014</v>
      </c>
      <c r="C5869" s="5" t="s">
        <v>1025</v>
      </c>
      <c r="D5869" s="2" t="s">
        <v>3304</v>
      </c>
    </row>
    <row r="5870" spans="1:4" ht="13.05" customHeight="1" x14ac:dyDescent="0.3">
      <c r="A5870" s="2" t="s">
        <v>922</v>
      </c>
      <c r="B5870" s="2" t="s">
        <v>1014</v>
      </c>
      <c r="C5870" s="5" t="s">
        <v>1027</v>
      </c>
      <c r="D5870" s="2" t="s">
        <v>3305</v>
      </c>
    </row>
    <row r="5871" spans="1:4" ht="13.05" customHeight="1" x14ac:dyDescent="0.3">
      <c r="A5871" s="2" t="s">
        <v>922</v>
      </c>
      <c r="B5871" s="2" t="s">
        <v>1014</v>
      </c>
      <c r="C5871" s="5" t="s">
        <v>1029</v>
      </c>
      <c r="D5871" s="2" t="s">
        <v>3306</v>
      </c>
    </row>
    <row r="5872" spans="1:4" ht="13.05" customHeight="1" x14ac:dyDescent="0.3">
      <c r="A5872" s="2" t="s">
        <v>922</v>
      </c>
      <c r="B5872" s="2" t="s">
        <v>1014</v>
      </c>
      <c r="C5872" s="5" t="s">
        <v>1031</v>
      </c>
      <c r="D5872" s="2" t="s">
        <v>3307</v>
      </c>
    </row>
    <row r="5873" spans="1:4" ht="13.05" customHeight="1" x14ac:dyDescent="0.3">
      <c r="A5873" s="2" t="s">
        <v>922</v>
      </c>
      <c r="B5873" s="2" t="s">
        <v>1014</v>
      </c>
      <c r="C5873" s="5" t="s">
        <v>1040</v>
      </c>
      <c r="D5873" s="2" t="s">
        <v>3308</v>
      </c>
    </row>
    <row r="5874" spans="1:4" ht="13.05" customHeight="1" x14ac:dyDescent="0.3">
      <c r="A5874" s="2" t="s">
        <v>922</v>
      </c>
      <c r="B5874" s="2" t="s">
        <v>1014</v>
      </c>
      <c r="C5874" s="5" t="s">
        <v>1042</v>
      </c>
      <c r="D5874" s="2" t="s">
        <v>3309</v>
      </c>
    </row>
    <row r="5875" spans="1:4" ht="13.05" customHeight="1" x14ac:dyDescent="0.3">
      <c r="A5875" s="2" t="s">
        <v>922</v>
      </c>
      <c r="B5875" s="2" t="s">
        <v>1014</v>
      </c>
      <c r="C5875" s="5" t="s">
        <v>1052</v>
      </c>
      <c r="D5875" s="2" t="s">
        <v>1083</v>
      </c>
    </row>
    <row r="5876" spans="1:4" ht="13.05" customHeight="1" x14ac:dyDescent="0.3">
      <c r="A5876" s="2" t="s">
        <v>924</v>
      </c>
      <c r="B5876" s="2" t="s">
        <v>1033</v>
      </c>
      <c r="C5876" s="5" t="s">
        <v>1015</v>
      </c>
      <c r="D5876" s="2" t="s">
        <v>1016</v>
      </c>
    </row>
    <row r="5877" spans="1:4" ht="13.05" customHeight="1" x14ac:dyDescent="0.3">
      <c r="A5877" s="2" t="s">
        <v>924</v>
      </c>
      <c r="B5877" s="2" t="s">
        <v>1033</v>
      </c>
      <c r="C5877" s="5" t="s">
        <v>1017</v>
      </c>
      <c r="D5877" s="2" t="s">
        <v>1018</v>
      </c>
    </row>
    <row r="5878" spans="1:4" ht="13.05" customHeight="1" x14ac:dyDescent="0.3">
      <c r="A5878" s="2" t="s">
        <v>924</v>
      </c>
      <c r="B5878" s="2" t="s">
        <v>1033</v>
      </c>
      <c r="C5878" s="5" t="s">
        <v>1019</v>
      </c>
      <c r="D5878" s="2" t="s">
        <v>1020</v>
      </c>
    </row>
    <row r="5879" spans="1:4" ht="13.05" customHeight="1" x14ac:dyDescent="0.3">
      <c r="A5879" s="2" t="s">
        <v>924</v>
      </c>
      <c r="B5879" s="2" t="s">
        <v>1033</v>
      </c>
      <c r="C5879" s="5" t="s">
        <v>1021</v>
      </c>
      <c r="D5879" s="2" t="s">
        <v>1108</v>
      </c>
    </row>
    <row r="5880" spans="1:4" ht="13.05" customHeight="1" x14ac:dyDescent="0.3">
      <c r="A5880" s="2" t="s">
        <v>924</v>
      </c>
      <c r="B5880" s="2" t="s">
        <v>1033</v>
      </c>
      <c r="C5880" s="5" t="s">
        <v>1023</v>
      </c>
      <c r="D5880" s="2" t="s">
        <v>1109</v>
      </c>
    </row>
    <row r="5881" spans="1:4" ht="13.05" customHeight="1" x14ac:dyDescent="0.3">
      <c r="A5881" s="2" t="s">
        <v>924</v>
      </c>
      <c r="B5881" s="2" t="s">
        <v>1033</v>
      </c>
      <c r="C5881" s="5" t="s">
        <v>1025</v>
      </c>
      <c r="D5881" s="2" t="s">
        <v>6207</v>
      </c>
    </row>
    <row r="5882" spans="1:4" ht="13.05" customHeight="1" x14ac:dyDescent="0.3">
      <c r="A5882" s="2" t="s">
        <v>924</v>
      </c>
      <c r="B5882" s="2" t="s">
        <v>1033</v>
      </c>
      <c r="C5882" s="5" t="s">
        <v>1027</v>
      </c>
      <c r="D5882" s="2" t="s">
        <v>6208</v>
      </c>
    </row>
    <row r="5883" spans="1:4" ht="13.05" customHeight="1" x14ac:dyDescent="0.3">
      <c r="A5883" s="2" t="s">
        <v>924</v>
      </c>
      <c r="B5883" s="2" t="s">
        <v>1033</v>
      </c>
      <c r="C5883" s="5" t="s">
        <v>1029</v>
      </c>
      <c r="D5883" s="2" t="s">
        <v>1091</v>
      </c>
    </row>
    <row r="5884" spans="1:4" ht="13.05" customHeight="1" x14ac:dyDescent="0.3">
      <c r="A5884" s="2" t="s">
        <v>926</v>
      </c>
      <c r="B5884" s="2" t="s">
        <v>1199</v>
      </c>
      <c r="C5884" s="5" t="s">
        <v>1044</v>
      </c>
      <c r="D5884" s="2" t="s">
        <v>1045</v>
      </c>
    </row>
    <row r="5885" spans="1:4" ht="13.05" customHeight="1" x14ac:dyDescent="0.3">
      <c r="A5885" s="2" t="s">
        <v>926</v>
      </c>
      <c r="B5885" s="2" t="s">
        <v>1199</v>
      </c>
      <c r="C5885" s="5" t="s">
        <v>1019</v>
      </c>
      <c r="D5885" s="2" t="s">
        <v>1020</v>
      </c>
    </row>
    <row r="5886" spans="1:4" ht="13.05" customHeight="1" x14ac:dyDescent="0.3">
      <c r="A5886" s="2" t="s">
        <v>926</v>
      </c>
      <c r="B5886" s="2" t="s">
        <v>1199</v>
      </c>
      <c r="C5886" s="5" t="s">
        <v>1021</v>
      </c>
      <c r="D5886" s="2" t="s">
        <v>6209</v>
      </c>
    </row>
    <row r="5887" spans="1:4" ht="13.05" customHeight="1" x14ac:dyDescent="0.3">
      <c r="A5887" s="2" t="s">
        <v>926</v>
      </c>
      <c r="B5887" s="2" t="s">
        <v>1199</v>
      </c>
      <c r="C5887" s="5" t="s">
        <v>1023</v>
      </c>
      <c r="D5887" s="2" t="s">
        <v>3064</v>
      </c>
    </row>
    <row r="5888" spans="1:4" ht="13.05" customHeight="1" x14ac:dyDescent="0.3">
      <c r="A5888" s="2" t="s">
        <v>926</v>
      </c>
      <c r="B5888" s="2" t="s">
        <v>1199</v>
      </c>
      <c r="C5888" s="5" t="s">
        <v>1025</v>
      </c>
      <c r="D5888" s="2" t="s">
        <v>3065</v>
      </c>
    </row>
    <row r="5889" spans="1:4" ht="13.05" customHeight="1" x14ac:dyDescent="0.3">
      <c r="A5889" s="2" t="s">
        <v>926</v>
      </c>
      <c r="B5889" s="2" t="s">
        <v>1199</v>
      </c>
      <c r="C5889" s="5" t="s">
        <v>1027</v>
      </c>
      <c r="D5889" s="2" t="s">
        <v>3066</v>
      </c>
    </row>
    <row r="5890" spans="1:4" ht="13.05" customHeight="1" x14ac:dyDescent="0.3">
      <c r="A5890" s="2" t="s">
        <v>926</v>
      </c>
      <c r="B5890" s="2" t="s">
        <v>1199</v>
      </c>
      <c r="C5890" s="5" t="s">
        <v>1029</v>
      </c>
      <c r="D5890" s="2" t="s">
        <v>3067</v>
      </c>
    </row>
    <row r="5891" spans="1:4" ht="13.05" customHeight="1" x14ac:dyDescent="0.3">
      <c r="A5891" s="2" t="s">
        <v>926</v>
      </c>
      <c r="B5891" s="2" t="s">
        <v>1199</v>
      </c>
      <c r="C5891" s="5" t="s">
        <v>1031</v>
      </c>
      <c r="D5891" s="2" t="s">
        <v>3068</v>
      </c>
    </row>
    <row r="5892" spans="1:4" ht="13.05" customHeight="1" x14ac:dyDescent="0.3">
      <c r="A5892" s="2" t="s">
        <v>926</v>
      </c>
      <c r="B5892" s="2" t="s">
        <v>1199</v>
      </c>
      <c r="C5892" s="5" t="s">
        <v>1040</v>
      </c>
      <c r="D5892" s="2" t="s">
        <v>3069</v>
      </c>
    </row>
    <row r="5893" spans="1:4" ht="13.05" customHeight="1" x14ac:dyDescent="0.3">
      <c r="A5893" s="2" t="s">
        <v>926</v>
      </c>
      <c r="B5893" s="2" t="s">
        <v>1199</v>
      </c>
      <c r="C5893" s="5" t="s">
        <v>1042</v>
      </c>
      <c r="D5893" s="2" t="s">
        <v>3070</v>
      </c>
    </row>
    <row r="5894" spans="1:4" ht="13.05" customHeight="1" x14ac:dyDescent="0.3">
      <c r="A5894" s="2" t="s">
        <v>926</v>
      </c>
      <c r="B5894" s="2" t="s">
        <v>1199</v>
      </c>
      <c r="C5894" s="5" t="s">
        <v>1061</v>
      </c>
      <c r="D5894" s="2" t="s">
        <v>3071</v>
      </c>
    </row>
    <row r="5895" spans="1:4" ht="13.05" customHeight="1" x14ac:dyDescent="0.3">
      <c r="A5895" s="2" t="s">
        <v>926</v>
      </c>
      <c r="B5895" s="2" t="s">
        <v>1199</v>
      </c>
      <c r="C5895" s="5" t="s">
        <v>1063</v>
      </c>
      <c r="D5895" s="2" t="s">
        <v>3072</v>
      </c>
    </row>
    <row r="5896" spans="1:4" ht="13.05" customHeight="1" x14ac:dyDescent="0.3">
      <c r="A5896" s="2" t="s">
        <v>926</v>
      </c>
      <c r="B5896" s="2" t="s">
        <v>1199</v>
      </c>
      <c r="C5896" s="5" t="s">
        <v>1065</v>
      </c>
      <c r="D5896" s="2" t="s">
        <v>3073</v>
      </c>
    </row>
    <row r="5897" spans="1:4" ht="13.05" customHeight="1" x14ac:dyDescent="0.3">
      <c r="A5897" s="2" t="s">
        <v>926</v>
      </c>
      <c r="B5897" s="2" t="s">
        <v>1199</v>
      </c>
      <c r="C5897" s="5" t="s">
        <v>1067</v>
      </c>
      <c r="D5897" s="2" t="s">
        <v>3074</v>
      </c>
    </row>
    <row r="5898" spans="1:4" ht="13.05" customHeight="1" x14ac:dyDescent="0.3">
      <c r="A5898" s="2" t="s">
        <v>926</v>
      </c>
      <c r="B5898" s="2" t="s">
        <v>1199</v>
      </c>
      <c r="C5898" s="5" t="s">
        <v>1069</v>
      </c>
      <c r="D5898" s="2" t="s">
        <v>3075</v>
      </c>
    </row>
    <row r="5899" spans="1:4" ht="13.05" customHeight="1" x14ac:dyDescent="0.3">
      <c r="A5899" s="2" t="s">
        <v>926</v>
      </c>
      <c r="B5899" s="2" t="s">
        <v>1199</v>
      </c>
      <c r="C5899" s="5" t="s">
        <v>1071</v>
      </c>
      <c r="D5899" s="2" t="s">
        <v>3076</v>
      </c>
    </row>
    <row r="5900" spans="1:4" ht="13.05" customHeight="1" x14ac:dyDescent="0.3">
      <c r="A5900" s="2" t="s">
        <v>926</v>
      </c>
      <c r="B5900" s="2" t="s">
        <v>1199</v>
      </c>
      <c r="C5900" s="5" t="s">
        <v>1073</v>
      </c>
      <c r="D5900" s="2" t="s">
        <v>3077</v>
      </c>
    </row>
    <row r="5901" spans="1:4" ht="13.05" customHeight="1" x14ac:dyDescent="0.3">
      <c r="A5901" s="2" t="s">
        <v>926</v>
      </c>
      <c r="B5901" s="2" t="s">
        <v>1199</v>
      </c>
      <c r="C5901" s="5" t="s">
        <v>1052</v>
      </c>
      <c r="D5901" s="2" t="s">
        <v>6210</v>
      </c>
    </row>
    <row r="5902" spans="1:4" ht="13.05" customHeight="1" x14ac:dyDescent="0.3">
      <c r="A5902" s="2" t="s">
        <v>929</v>
      </c>
      <c r="B5902" s="2" t="s">
        <v>1054</v>
      </c>
      <c r="C5902" s="5" t="s">
        <v>1015</v>
      </c>
      <c r="D5902" s="2" t="s">
        <v>1016</v>
      </c>
    </row>
    <row r="5903" spans="1:4" ht="13.05" customHeight="1" x14ac:dyDescent="0.3">
      <c r="A5903" s="2" t="s">
        <v>929</v>
      </c>
      <c r="B5903" s="2" t="s">
        <v>1054</v>
      </c>
      <c r="C5903" s="5" t="s">
        <v>1017</v>
      </c>
      <c r="D5903" s="2" t="s">
        <v>1018</v>
      </c>
    </row>
    <row r="5904" spans="1:4" ht="13.05" customHeight="1" x14ac:dyDescent="0.3">
      <c r="A5904" s="2" t="s">
        <v>929</v>
      </c>
      <c r="B5904" s="2" t="s">
        <v>1054</v>
      </c>
      <c r="C5904" s="5" t="s">
        <v>1021</v>
      </c>
      <c r="D5904" s="2" t="s">
        <v>3063</v>
      </c>
    </row>
    <row r="5905" spans="1:4" ht="13.05" customHeight="1" x14ac:dyDescent="0.3">
      <c r="A5905" s="2" t="s">
        <v>929</v>
      </c>
      <c r="B5905" s="2" t="s">
        <v>1054</v>
      </c>
      <c r="C5905" s="5" t="s">
        <v>1023</v>
      </c>
      <c r="D5905" s="2" t="s">
        <v>3064</v>
      </c>
    </row>
    <row r="5906" spans="1:4" ht="13.05" customHeight="1" x14ac:dyDescent="0.3">
      <c r="A5906" s="2" t="s">
        <v>929</v>
      </c>
      <c r="B5906" s="2" t="s">
        <v>1054</v>
      </c>
      <c r="C5906" s="5" t="s">
        <v>1025</v>
      </c>
      <c r="D5906" s="2" t="s">
        <v>3065</v>
      </c>
    </row>
    <row r="5907" spans="1:4" ht="13.05" customHeight="1" x14ac:dyDescent="0.3">
      <c r="A5907" s="2" t="s">
        <v>929</v>
      </c>
      <c r="B5907" s="2" t="s">
        <v>1054</v>
      </c>
      <c r="C5907" s="5" t="s">
        <v>1027</v>
      </c>
      <c r="D5907" s="2" t="s">
        <v>3066</v>
      </c>
    </row>
    <row r="5908" spans="1:4" ht="13.05" customHeight="1" x14ac:dyDescent="0.3">
      <c r="A5908" s="2" t="s">
        <v>929</v>
      </c>
      <c r="B5908" s="2" t="s">
        <v>1054</v>
      </c>
      <c r="C5908" s="5" t="s">
        <v>1029</v>
      </c>
      <c r="D5908" s="2" t="s">
        <v>3067</v>
      </c>
    </row>
    <row r="5909" spans="1:4" ht="13.05" customHeight="1" x14ac:dyDescent="0.3">
      <c r="A5909" s="2" t="s">
        <v>929</v>
      </c>
      <c r="B5909" s="2" t="s">
        <v>1054</v>
      </c>
      <c r="C5909" s="5" t="s">
        <v>1031</v>
      </c>
      <c r="D5909" s="2" t="s">
        <v>3068</v>
      </c>
    </row>
    <row r="5910" spans="1:4" ht="13.05" customHeight="1" x14ac:dyDescent="0.3">
      <c r="A5910" s="2" t="s">
        <v>929</v>
      </c>
      <c r="B5910" s="2" t="s">
        <v>1054</v>
      </c>
      <c r="C5910" s="5" t="s">
        <v>1040</v>
      </c>
      <c r="D5910" s="2" t="s">
        <v>3069</v>
      </c>
    </row>
    <row r="5911" spans="1:4" ht="13.05" customHeight="1" x14ac:dyDescent="0.3">
      <c r="A5911" s="2" t="s">
        <v>929</v>
      </c>
      <c r="B5911" s="2" t="s">
        <v>1054</v>
      </c>
      <c r="C5911" s="5" t="s">
        <v>1042</v>
      </c>
      <c r="D5911" s="2" t="s">
        <v>3070</v>
      </c>
    </row>
    <row r="5912" spans="1:4" ht="13.05" customHeight="1" x14ac:dyDescent="0.3">
      <c r="A5912" s="2" t="s">
        <v>929</v>
      </c>
      <c r="B5912" s="2" t="s">
        <v>1054</v>
      </c>
      <c r="C5912" s="5" t="s">
        <v>1061</v>
      </c>
      <c r="D5912" s="2" t="s">
        <v>3071</v>
      </c>
    </row>
    <row r="5913" spans="1:4" ht="13.05" customHeight="1" x14ac:dyDescent="0.3">
      <c r="A5913" s="2" t="s">
        <v>929</v>
      </c>
      <c r="B5913" s="2" t="s">
        <v>1054</v>
      </c>
      <c r="C5913" s="5" t="s">
        <v>1063</v>
      </c>
      <c r="D5913" s="2" t="s">
        <v>3072</v>
      </c>
    </row>
    <row r="5914" spans="1:4" ht="13.05" customHeight="1" x14ac:dyDescent="0.3">
      <c r="A5914" s="2" t="s">
        <v>929</v>
      </c>
      <c r="B5914" s="2" t="s">
        <v>1054</v>
      </c>
      <c r="C5914" s="5" t="s">
        <v>1071</v>
      </c>
      <c r="D5914" s="2" t="s">
        <v>3073</v>
      </c>
    </row>
    <row r="5915" spans="1:4" ht="13.05" customHeight="1" x14ac:dyDescent="0.3">
      <c r="A5915" s="2" t="s">
        <v>929</v>
      </c>
      <c r="B5915" s="2" t="s">
        <v>1054</v>
      </c>
      <c r="C5915" s="5" t="s">
        <v>1073</v>
      </c>
      <c r="D5915" s="2" t="s">
        <v>3074</v>
      </c>
    </row>
    <row r="5916" spans="1:4" ht="13.05" customHeight="1" x14ac:dyDescent="0.3">
      <c r="A5916" s="2" t="s">
        <v>929</v>
      </c>
      <c r="B5916" s="2" t="s">
        <v>1054</v>
      </c>
      <c r="C5916" s="5" t="s">
        <v>1075</v>
      </c>
      <c r="D5916" s="2" t="s">
        <v>3075</v>
      </c>
    </row>
    <row r="5917" spans="1:4" ht="13.05" customHeight="1" x14ac:dyDescent="0.3">
      <c r="A5917" s="2" t="s">
        <v>929</v>
      </c>
      <c r="B5917" s="2" t="s">
        <v>1054</v>
      </c>
      <c r="C5917" s="5" t="s">
        <v>1077</v>
      </c>
      <c r="D5917" s="2" t="s">
        <v>3076</v>
      </c>
    </row>
    <row r="5918" spans="1:4" ht="13.05" customHeight="1" x14ac:dyDescent="0.3">
      <c r="A5918" s="2" t="s">
        <v>929</v>
      </c>
      <c r="B5918" s="2" t="s">
        <v>1054</v>
      </c>
      <c r="C5918" s="5" t="s">
        <v>1079</v>
      </c>
      <c r="D5918" s="2" t="s">
        <v>3077</v>
      </c>
    </row>
    <row r="5919" spans="1:4" ht="13.05" customHeight="1" x14ac:dyDescent="0.3">
      <c r="A5919" s="2" t="s">
        <v>929</v>
      </c>
      <c r="B5919" s="2" t="s">
        <v>1054</v>
      </c>
      <c r="C5919" s="5" t="s">
        <v>1052</v>
      </c>
      <c r="D5919" s="2" t="s">
        <v>6210</v>
      </c>
    </row>
    <row r="5920" spans="1:4" ht="13.05" customHeight="1" x14ac:dyDescent="0.3">
      <c r="A5920" s="2" t="s">
        <v>934</v>
      </c>
      <c r="B5920" s="2" t="s">
        <v>1199</v>
      </c>
      <c r="C5920" s="5" t="s">
        <v>1044</v>
      </c>
      <c r="D5920" s="2" t="s">
        <v>1045</v>
      </c>
    </row>
    <row r="5921" spans="1:4" ht="13.05" customHeight="1" x14ac:dyDescent="0.3">
      <c r="A5921" s="2" t="s">
        <v>934</v>
      </c>
      <c r="B5921" s="2" t="s">
        <v>1199</v>
      </c>
      <c r="C5921" s="5" t="s">
        <v>1015</v>
      </c>
      <c r="D5921" s="2" t="s">
        <v>1016</v>
      </c>
    </row>
    <row r="5922" spans="1:4" ht="13.05" customHeight="1" x14ac:dyDescent="0.3">
      <c r="A5922" s="2" t="s">
        <v>934</v>
      </c>
      <c r="B5922" s="2" t="s">
        <v>1199</v>
      </c>
      <c r="C5922" s="5" t="s">
        <v>1017</v>
      </c>
      <c r="D5922" s="2" t="s">
        <v>1018</v>
      </c>
    </row>
    <row r="5923" spans="1:4" ht="13.05" customHeight="1" x14ac:dyDescent="0.3">
      <c r="A5923" s="2" t="s">
        <v>934</v>
      </c>
      <c r="B5923" s="2" t="s">
        <v>1199</v>
      </c>
      <c r="C5923" s="5" t="s">
        <v>1019</v>
      </c>
      <c r="D5923" s="2" t="s">
        <v>1020</v>
      </c>
    </row>
    <row r="5924" spans="1:4" ht="13.05" customHeight="1" x14ac:dyDescent="0.3">
      <c r="A5924" s="2" t="s">
        <v>934</v>
      </c>
      <c r="B5924" s="2" t="s">
        <v>1199</v>
      </c>
      <c r="C5924" s="5" t="s">
        <v>1021</v>
      </c>
      <c r="D5924" s="2" t="s">
        <v>6211</v>
      </c>
    </row>
    <row r="5925" spans="1:4" ht="13.05" customHeight="1" x14ac:dyDescent="0.3">
      <c r="A5925" s="2" t="s">
        <v>934</v>
      </c>
      <c r="B5925" s="2" t="s">
        <v>1199</v>
      </c>
      <c r="C5925" s="5" t="s">
        <v>1023</v>
      </c>
      <c r="D5925" s="2" t="s">
        <v>6212</v>
      </c>
    </row>
    <row r="5926" spans="1:4" ht="13.05" customHeight="1" x14ac:dyDescent="0.3">
      <c r="A5926" s="2" t="s">
        <v>934</v>
      </c>
      <c r="B5926" s="2" t="s">
        <v>1199</v>
      </c>
      <c r="C5926" s="5" t="s">
        <v>1025</v>
      </c>
      <c r="D5926" s="2" t="s">
        <v>6213</v>
      </c>
    </row>
    <row r="5927" spans="1:4" ht="13.05" customHeight="1" x14ac:dyDescent="0.3">
      <c r="A5927" s="2" t="s">
        <v>934</v>
      </c>
      <c r="B5927" s="2" t="s">
        <v>1199</v>
      </c>
      <c r="C5927" s="5" t="s">
        <v>1027</v>
      </c>
      <c r="D5927" s="2" t="s">
        <v>6214</v>
      </c>
    </row>
    <row r="5928" spans="1:4" ht="13.05" customHeight="1" x14ac:dyDescent="0.3">
      <c r="A5928" s="2" t="s">
        <v>934</v>
      </c>
      <c r="B5928" s="2" t="s">
        <v>1199</v>
      </c>
      <c r="C5928" s="5" t="s">
        <v>1029</v>
      </c>
      <c r="D5928" s="2" t="s">
        <v>6215</v>
      </c>
    </row>
    <row r="5929" spans="1:4" ht="13.05" customHeight="1" x14ac:dyDescent="0.3">
      <c r="A5929" s="2" t="s">
        <v>934</v>
      </c>
      <c r="B5929" s="2" t="s">
        <v>1199</v>
      </c>
      <c r="C5929" s="5" t="s">
        <v>1031</v>
      </c>
      <c r="D5929" s="2" t="s">
        <v>6216</v>
      </c>
    </row>
    <row r="5930" spans="1:4" ht="13.05" customHeight="1" x14ac:dyDescent="0.3">
      <c r="A5930" s="2" t="s">
        <v>934</v>
      </c>
      <c r="B5930" s="2" t="s">
        <v>1199</v>
      </c>
      <c r="C5930" s="5" t="s">
        <v>1040</v>
      </c>
      <c r="D5930" s="2" t="s">
        <v>6217</v>
      </c>
    </row>
    <row r="5931" spans="1:4" ht="13.05" customHeight="1" x14ac:dyDescent="0.3">
      <c r="A5931" s="2" t="s">
        <v>934</v>
      </c>
      <c r="B5931" s="2" t="s">
        <v>1199</v>
      </c>
      <c r="C5931" s="5" t="s">
        <v>1042</v>
      </c>
      <c r="D5931" s="2" t="s">
        <v>6218</v>
      </c>
    </row>
    <row r="5932" spans="1:4" ht="13.05" customHeight="1" x14ac:dyDescent="0.3">
      <c r="A5932" s="2" t="s">
        <v>934</v>
      </c>
      <c r="B5932" s="2" t="s">
        <v>1199</v>
      </c>
      <c r="C5932" s="5" t="s">
        <v>1061</v>
      </c>
      <c r="D5932" s="2" t="s">
        <v>6219</v>
      </c>
    </row>
    <row r="5933" spans="1:4" ht="13.05" customHeight="1" x14ac:dyDescent="0.3">
      <c r="A5933" s="2" t="s">
        <v>934</v>
      </c>
      <c r="B5933" s="2" t="s">
        <v>1199</v>
      </c>
      <c r="C5933" s="5" t="s">
        <v>1063</v>
      </c>
      <c r="D5933" s="2" t="s">
        <v>6220</v>
      </c>
    </row>
    <row r="5934" spans="1:4" ht="13.05" customHeight="1" x14ac:dyDescent="0.3">
      <c r="A5934" s="2" t="s">
        <v>934</v>
      </c>
      <c r="B5934" s="2" t="s">
        <v>1199</v>
      </c>
      <c r="C5934" s="5" t="s">
        <v>1065</v>
      </c>
      <c r="D5934" s="2" t="s">
        <v>6221</v>
      </c>
    </row>
    <row r="5935" spans="1:4" ht="13.05" customHeight="1" x14ac:dyDescent="0.3">
      <c r="A5935" s="2" t="s">
        <v>934</v>
      </c>
      <c r="B5935" s="2" t="s">
        <v>1199</v>
      </c>
      <c r="C5935" s="5" t="s">
        <v>1067</v>
      </c>
      <c r="D5935" s="2" t="s">
        <v>6222</v>
      </c>
    </row>
    <row r="5936" spans="1:4" ht="13.05" customHeight="1" x14ac:dyDescent="0.3">
      <c r="A5936" s="2" t="s">
        <v>934</v>
      </c>
      <c r="B5936" s="2" t="s">
        <v>1199</v>
      </c>
      <c r="C5936" s="5" t="s">
        <v>1069</v>
      </c>
      <c r="D5936" s="2" t="s">
        <v>6223</v>
      </c>
    </row>
    <row r="5937" spans="1:4" ht="13.05" customHeight="1" x14ac:dyDescent="0.3">
      <c r="A5937" s="2" t="s">
        <v>934</v>
      </c>
      <c r="B5937" s="2" t="s">
        <v>1199</v>
      </c>
      <c r="C5937" s="5" t="s">
        <v>1071</v>
      </c>
      <c r="D5937" s="2" t="s">
        <v>6224</v>
      </c>
    </row>
    <row r="5938" spans="1:4" ht="13.05" customHeight="1" x14ac:dyDescent="0.3">
      <c r="A5938" s="2" t="s">
        <v>934</v>
      </c>
      <c r="B5938" s="2" t="s">
        <v>1199</v>
      </c>
      <c r="C5938" s="5" t="s">
        <v>1073</v>
      </c>
      <c r="D5938" s="2" t="s">
        <v>6225</v>
      </c>
    </row>
    <row r="5939" spans="1:4" ht="13.05" customHeight="1" x14ac:dyDescent="0.3">
      <c r="A5939" s="2" t="s">
        <v>934</v>
      </c>
      <c r="B5939" s="2" t="s">
        <v>1199</v>
      </c>
      <c r="C5939" s="5" t="s">
        <v>1075</v>
      </c>
      <c r="D5939" s="2" t="s">
        <v>6226</v>
      </c>
    </row>
    <row r="5940" spans="1:4" ht="13.05" customHeight="1" x14ac:dyDescent="0.3">
      <c r="A5940" s="2" t="s">
        <v>934</v>
      </c>
      <c r="B5940" s="2" t="s">
        <v>1199</v>
      </c>
      <c r="C5940" s="5" t="s">
        <v>1077</v>
      </c>
      <c r="D5940" s="2" t="s">
        <v>6227</v>
      </c>
    </row>
    <row r="5941" spans="1:4" ht="13.05" customHeight="1" x14ac:dyDescent="0.3">
      <c r="A5941" s="2" t="s">
        <v>934</v>
      </c>
      <c r="B5941" s="2" t="s">
        <v>1199</v>
      </c>
      <c r="C5941" s="5" t="s">
        <v>1079</v>
      </c>
      <c r="D5941" s="2" t="s">
        <v>6228</v>
      </c>
    </row>
    <row r="5942" spans="1:4" ht="13.05" customHeight="1" x14ac:dyDescent="0.3">
      <c r="A5942" s="2" t="s">
        <v>934</v>
      </c>
      <c r="B5942" s="2" t="s">
        <v>1199</v>
      </c>
      <c r="C5942" s="5" t="s">
        <v>1081</v>
      </c>
      <c r="D5942" s="2" t="s">
        <v>6229</v>
      </c>
    </row>
    <row r="5943" spans="1:4" ht="13.05" customHeight="1" x14ac:dyDescent="0.3">
      <c r="A5943" s="2" t="s">
        <v>934</v>
      </c>
      <c r="B5943" s="2" t="s">
        <v>1199</v>
      </c>
      <c r="C5943" s="5" t="s">
        <v>1052</v>
      </c>
      <c r="D5943" s="2" t="s">
        <v>1083</v>
      </c>
    </row>
    <row r="5944" spans="1:4" ht="13.05" customHeight="1" x14ac:dyDescent="0.3">
      <c r="A5944" s="2" t="s">
        <v>937</v>
      </c>
      <c r="B5944" s="2" t="s">
        <v>1199</v>
      </c>
      <c r="C5944" s="5" t="s">
        <v>1044</v>
      </c>
      <c r="D5944" s="2" t="s">
        <v>1045</v>
      </c>
    </row>
    <row r="5945" spans="1:4" ht="13.05" customHeight="1" x14ac:dyDescent="0.3">
      <c r="A5945" s="2" t="s">
        <v>937</v>
      </c>
      <c r="B5945" s="2" t="s">
        <v>1199</v>
      </c>
      <c r="C5945" s="5" t="s">
        <v>1019</v>
      </c>
      <c r="D5945" s="2" t="s">
        <v>1020</v>
      </c>
    </row>
    <row r="5946" spans="1:4" ht="13.05" customHeight="1" x14ac:dyDescent="0.3">
      <c r="A5946" s="2" t="s">
        <v>939</v>
      </c>
      <c r="B5946" s="2" t="s">
        <v>1199</v>
      </c>
      <c r="C5946" s="5" t="s">
        <v>1044</v>
      </c>
      <c r="D5946" s="2" t="s">
        <v>1045</v>
      </c>
    </row>
    <row r="5947" spans="1:4" ht="13.05" customHeight="1" x14ac:dyDescent="0.3">
      <c r="A5947" s="2" t="s">
        <v>939</v>
      </c>
      <c r="B5947" s="2" t="s">
        <v>1199</v>
      </c>
      <c r="C5947" s="5" t="s">
        <v>1015</v>
      </c>
      <c r="D5947" s="2" t="s">
        <v>1016</v>
      </c>
    </row>
    <row r="5948" spans="1:4" ht="13.05" customHeight="1" x14ac:dyDescent="0.3">
      <c r="A5948" s="2" t="s">
        <v>939</v>
      </c>
      <c r="B5948" s="2" t="s">
        <v>1199</v>
      </c>
      <c r="C5948" s="5" t="s">
        <v>1017</v>
      </c>
      <c r="D5948" s="2" t="s">
        <v>1018</v>
      </c>
    </row>
    <row r="5949" spans="1:4" ht="13.05" customHeight="1" x14ac:dyDescent="0.3">
      <c r="A5949" s="2" t="s">
        <v>939</v>
      </c>
      <c r="B5949" s="2" t="s">
        <v>1199</v>
      </c>
      <c r="C5949" s="5" t="s">
        <v>1019</v>
      </c>
      <c r="D5949" s="2" t="s">
        <v>1020</v>
      </c>
    </row>
    <row r="5950" spans="1:4" ht="13.05" customHeight="1" x14ac:dyDescent="0.3">
      <c r="A5950" s="2" t="s">
        <v>939</v>
      </c>
      <c r="B5950" s="2" t="s">
        <v>1199</v>
      </c>
      <c r="C5950" s="5" t="s">
        <v>1021</v>
      </c>
      <c r="D5950" s="2" t="s">
        <v>6211</v>
      </c>
    </row>
    <row r="5951" spans="1:4" ht="13.05" customHeight="1" x14ac:dyDescent="0.3">
      <c r="A5951" s="2" t="s">
        <v>939</v>
      </c>
      <c r="B5951" s="2" t="s">
        <v>1199</v>
      </c>
      <c r="C5951" s="5" t="s">
        <v>1023</v>
      </c>
      <c r="D5951" s="2" t="s">
        <v>6212</v>
      </c>
    </row>
    <row r="5952" spans="1:4" ht="13.05" customHeight="1" x14ac:dyDescent="0.3">
      <c r="A5952" s="2" t="s">
        <v>939</v>
      </c>
      <c r="B5952" s="2" t="s">
        <v>1199</v>
      </c>
      <c r="C5952" s="5" t="s">
        <v>1025</v>
      </c>
      <c r="D5952" s="2" t="s">
        <v>6213</v>
      </c>
    </row>
    <row r="5953" spans="1:4" ht="13.05" customHeight="1" x14ac:dyDescent="0.3">
      <c r="A5953" s="2" t="s">
        <v>939</v>
      </c>
      <c r="B5953" s="2" t="s">
        <v>1199</v>
      </c>
      <c r="C5953" s="5" t="s">
        <v>1027</v>
      </c>
      <c r="D5953" s="2" t="s">
        <v>6214</v>
      </c>
    </row>
    <row r="5954" spans="1:4" ht="13.05" customHeight="1" x14ac:dyDescent="0.3">
      <c r="A5954" s="2" t="s">
        <v>939</v>
      </c>
      <c r="B5954" s="2" t="s">
        <v>1199</v>
      </c>
      <c r="C5954" s="5" t="s">
        <v>1029</v>
      </c>
      <c r="D5954" s="2" t="s">
        <v>6215</v>
      </c>
    </row>
    <row r="5955" spans="1:4" ht="13.05" customHeight="1" x14ac:dyDescent="0.3">
      <c r="A5955" s="2" t="s">
        <v>939</v>
      </c>
      <c r="B5955" s="2" t="s">
        <v>1199</v>
      </c>
      <c r="C5955" s="5" t="s">
        <v>1031</v>
      </c>
      <c r="D5955" s="2" t="s">
        <v>6216</v>
      </c>
    </row>
    <row r="5956" spans="1:4" ht="13.05" customHeight="1" x14ac:dyDescent="0.3">
      <c r="A5956" s="2" t="s">
        <v>939</v>
      </c>
      <c r="B5956" s="2" t="s">
        <v>1199</v>
      </c>
      <c r="C5956" s="5" t="s">
        <v>1040</v>
      </c>
      <c r="D5956" s="2" t="s">
        <v>6217</v>
      </c>
    </row>
    <row r="5957" spans="1:4" ht="13.05" customHeight="1" x14ac:dyDescent="0.3">
      <c r="A5957" s="2" t="s">
        <v>939</v>
      </c>
      <c r="B5957" s="2" t="s">
        <v>1199</v>
      </c>
      <c r="C5957" s="5" t="s">
        <v>1042</v>
      </c>
      <c r="D5957" s="2" t="s">
        <v>6218</v>
      </c>
    </row>
    <row r="5958" spans="1:4" ht="13.05" customHeight="1" x14ac:dyDescent="0.3">
      <c r="A5958" s="2" t="s">
        <v>939</v>
      </c>
      <c r="B5958" s="2" t="s">
        <v>1199</v>
      </c>
      <c r="C5958" s="5" t="s">
        <v>1061</v>
      </c>
      <c r="D5958" s="2" t="s">
        <v>6219</v>
      </c>
    </row>
    <row r="5959" spans="1:4" ht="13.05" customHeight="1" x14ac:dyDescent="0.3">
      <c r="A5959" s="2" t="s">
        <v>939</v>
      </c>
      <c r="B5959" s="2" t="s">
        <v>1199</v>
      </c>
      <c r="C5959" s="5" t="s">
        <v>1063</v>
      </c>
      <c r="D5959" s="2" t="s">
        <v>6220</v>
      </c>
    </row>
    <row r="5960" spans="1:4" ht="13.05" customHeight="1" x14ac:dyDescent="0.3">
      <c r="A5960" s="2" t="s">
        <v>939</v>
      </c>
      <c r="B5960" s="2" t="s">
        <v>1199</v>
      </c>
      <c r="C5960" s="5" t="s">
        <v>1065</v>
      </c>
      <c r="D5960" s="2" t="s">
        <v>6221</v>
      </c>
    </row>
    <row r="5961" spans="1:4" ht="13.05" customHeight="1" x14ac:dyDescent="0.3">
      <c r="A5961" s="2" t="s">
        <v>939</v>
      </c>
      <c r="B5961" s="2" t="s">
        <v>1199</v>
      </c>
      <c r="C5961" s="5" t="s">
        <v>1067</v>
      </c>
      <c r="D5961" s="2" t="s">
        <v>6222</v>
      </c>
    </row>
    <row r="5962" spans="1:4" ht="13.05" customHeight="1" x14ac:dyDescent="0.3">
      <c r="A5962" s="2" t="s">
        <v>939</v>
      </c>
      <c r="B5962" s="2" t="s">
        <v>1199</v>
      </c>
      <c r="C5962" s="5" t="s">
        <v>1069</v>
      </c>
      <c r="D5962" s="2" t="s">
        <v>6223</v>
      </c>
    </row>
    <row r="5963" spans="1:4" ht="13.05" customHeight="1" x14ac:dyDescent="0.3">
      <c r="A5963" s="2" t="s">
        <v>939</v>
      </c>
      <c r="B5963" s="2" t="s">
        <v>1199</v>
      </c>
      <c r="C5963" s="5" t="s">
        <v>1071</v>
      </c>
      <c r="D5963" s="2" t="s">
        <v>6224</v>
      </c>
    </row>
    <row r="5964" spans="1:4" ht="13.05" customHeight="1" x14ac:dyDescent="0.3">
      <c r="A5964" s="2" t="s">
        <v>939</v>
      </c>
      <c r="B5964" s="2" t="s">
        <v>1199</v>
      </c>
      <c r="C5964" s="5" t="s">
        <v>1073</v>
      </c>
      <c r="D5964" s="2" t="s">
        <v>6225</v>
      </c>
    </row>
    <row r="5965" spans="1:4" ht="13.05" customHeight="1" x14ac:dyDescent="0.3">
      <c r="A5965" s="2" t="s">
        <v>939</v>
      </c>
      <c r="B5965" s="2" t="s">
        <v>1199</v>
      </c>
      <c r="C5965" s="5" t="s">
        <v>1075</v>
      </c>
      <c r="D5965" s="2" t="s">
        <v>6226</v>
      </c>
    </row>
    <row r="5966" spans="1:4" ht="13.05" customHeight="1" x14ac:dyDescent="0.3">
      <c r="A5966" s="2" t="s">
        <v>939</v>
      </c>
      <c r="B5966" s="2" t="s">
        <v>1199</v>
      </c>
      <c r="C5966" s="5" t="s">
        <v>1077</v>
      </c>
      <c r="D5966" s="2" t="s">
        <v>6227</v>
      </c>
    </row>
    <row r="5967" spans="1:4" ht="13.05" customHeight="1" x14ac:dyDescent="0.3">
      <c r="A5967" s="2" t="s">
        <v>939</v>
      </c>
      <c r="B5967" s="2" t="s">
        <v>1199</v>
      </c>
      <c r="C5967" s="5" t="s">
        <v>1079</v>
      </c>
      <c r="D5967" s="2" t="s">
        <v>6228</v>
      </c>
    </row>
    <row r="5968" spans="1:4" ht="13.05" customHeight="1" x14ac:dyDescent="0.3">
      <c r="A5968" s="2" t="s">
        <v>939</v>
      </c>
      <c r="B5968" s="2" t="s">
        <v>1199</v>
      </c>
      <c r="C5968" s="5" t="s">
        <v>1081</v>
      </c>
      <c r="D5968" s="2" t="s">
        <v>6229</v>
      </c>
    </row>
    <row r="5969" spans="1:4" ht="13.05" customHeight="1" x14ac:dyDescent="0.3">
      <c r="A5969" s="2" t="s">
        <v>939</v>
      </c>
      <c r="B5969" s="2" t="s">
        <v>1199</v>
      </c>
      <c r="C5969" s="5" t="s">
        <v>1052</v>
      </c>
      <c r="D5969" s="2" t="s">
        <v>1083</v>
      </c>
    </row>
    <row r="5970" spans="1:4" ht="13.05" customHeight="1" x14ac:dyDescent="0.3">
      <c r="A5970" s="2" t="s">
        <v>941</v>
      </c>
      <c r="B5970" s="2" t="s">
        <v>1199</v>
      </c>
      <c r="C5970" s="5" t="s">
        <v>1021</v>
      </c>
      <c r="D5970" s="2" t="s">
        <v>6230</v>
      </c>
    </row>
    <row r="5971" spans="1:4" ht="13.05" customHeight="1" x14ac:dyDescent="0.3">
      <c r="A5971" s="2" t="s">
        <v>941</v>
      </c>
      <c r="B5971" s="2" t="s">
        <v>1199</v>
      </c>
      <c r="C5971" s="5" t="s">
        <v>1063</v>
      </c>
      <c r="D5971" s="2" t="s">
        <v>1055</v>
      </c>
    </row>
    <row r="5972" spans="1:4" ht="13.05" customHeight="1" x14ac:dyDescent="0.3">
      <c r="A5972" s="2" t="s">
        <v>941</v>
      </c>
      <c r="B5972" s="2" t="s">
        <v>1199</v>
      </c>
      <c r="C5972" s="5" t="s">
        <v>1222</v>
      </c>
      <c r="D5972" s="2" t="s">
        <v>6231</v>
      </c>
    </row>
    <row r="5973" spans="1:4" ht="13.05" customHeight="1" x14ac:dyDescent="0.3">
      <c r="A5973" s="2" t="s">
        <v>941</v>
      </c>
      <c r="B5973" s="2" t="s">
        <v>1199</v>
      </c>
      <c r="C5973" s="5" t="s">
        <v>1224</v>
      </c>
      <c r="D5973" s="2" t="s">
        <v>6232</v>
      </c>
    </row>
    <row r="5974" spans="1:4" ht="13.05" customHeight="1" x14ac:dyDescent="0.3">
      <c r="A5974" s="2" t="s">
        <v>941</v>
      </c>
      <c r="B5974" s="2" t="s">
        <v>1199</v>
      </c>
      <c r="C5974" s="5" t="s">
        <v>1226</v>
      </c>
      <c r="D5974" s="2" t="s">
        <v>6233</v>
      </c>
    </row>
    <row r="5975" spans="1:4" ht="13.05" customHeight="1" x14ac:dyDescent="0.3">
      <c r="A5975" s="2" t="s">
        <v>941</v>
      </c>
      <c r="B5975" s="2" t="s">
        <v>1199</v>
      </c>
      <c r="C5975" s="5" t="s">
        <v>1228</v>
      </c>
      <c r="D5975" s="2" t="s">
        <v>6234</v>
      </c>
    </row>
    <row r="5976" spans="1:4" ht="13.05" customHeight="1" x14ac:dyDescent="0.3">
      <c r="A5976" s="2" t="s">
        <v>941</v>
      </c>
      <c r="B5976" s="2" t="s">
        <v>1199</v>
      </c>
      <c r="C5976" s="5" t="s">
        <v>1230</v>
      </c>
      <c r="D5976" s="2" t="s">
        <v>6235</v>
      </c>
    </row>
    <row r="5977" spans="1:4" ht="13.05" customHeight="1" x14ac:dyDescent="0.3">
      <c r="A5977" s="2" t="s">
        <v>941</v>
      </c>
      <c r="B5977" s="2" t="s">
        <v>1199</v>
      </c>
      <c r="C5977" s="5" t="s">
        <v>1232</v>
      </c>
      <c r="D5977" s="2" t="s">
        <v>6236</v>
      </c>
    </row>
    <row r="5978" spans="1:4" ht="13.05" customHeight="1" x14ac:dyDescent="0.3">
      <c r="A5978" s="2" t="s">
        <v>941</v>
      </c>
      <c r="B5978" s="2" t="s">
        <v>1199</v>
      </c>
      <c r="C5978" s="5" t="s">
        <v>1234</v>
      </c>
      <c r="D5978" s="2" t="s">
        <v>6237</v>
      </c>
    </row>
    <row r="5979" spans="1:4" ht="13.05" customHeight="1" x14ac:dyDescent="0.3">
      <c r="A5979" s="2" t="s">
        <v>941</v>
      </c>
      <c r="B5979" s="2" t="s">
        <v>1199</v>
      </c>
      <c r="C5979" s="5" t="s">
        <v>1052</v>
      </c>
      <c r="D5979" s="2" t="s">
        <v>1083</v>
      </c>
    </row>
    <row r="5980" spans="1:4" ht="13.05" customHeight="1" x14ac:dyDescent="0.3">
      <c r="A5980" s="2" t="s">
        <v>943</v>
      </c>
      <c r="B5980" s="2" t="s">
        <v>1199</v>
      </c>
      <c r="C5980" s="5" t="s">
        <v>1021</v>
      </c>
      <c r="D5980" s="2" t="s">
        <v>6238</v>
      </c>
    </row>
    <row r="5981" spans="1:4" ht="13.05" customHeight="1" x14ac:dyDescent="0.3">
      <c r="A5981" s="2" t="s">
        <v>943</v>
      </c>
      <c r="B5981" s="2" t="s">
        <v>1199</v>
      </c>
      <c r="C5981" s="5" t="s">
        <v>1023</v>
      </c>
      <c r="D5981" s="2" t="s">
        <v>6239</v>
      </c>
    </row>
    <row r="5982" spans="1:4" ht="13.05" customHeight="1" x14ac:dyDescent="0.3">
      <c r="A5982" s="2" t="s">
        <v>943</v>
      </c>
      <c r="B5982" s="2" t="s">
        <v>1199</v>
      </c>
      <c r="C5982" s="5" t="s">
        <v>1025</v>
      </c>
      <c r="D5982" s="2" t="s">
        <v>6240</v>
      </c>
    </row>
    <row r="5983" spans="1:4" ht="13.05" customHeight="1" x14ac:dyDescent="0.3">
      <c r="A5983" s="2" t="s">
        <v>943</v>
      </c>
      <c r="B5983" s="2" t="s">
        <v>1199</v>
      </c>
      <c r="C5983" s="5" t="s">
        <v>1027</v>
      </c>
      <c r="D5983" s="2" t="s">
        <v>6241</v>
      </c>
    </row>
    <row r="5984" spans="1:4" ht="13.05" customHeight="1" x14ac:dyDescent="0.3">
      <c r="A5984" s="2" t="s">
        <v>943</v>
      </c>
      <c r="B5984" s="2" t="s">
        <v>1199</v>
      </c>
      <c r="C5984" s="5" t="s">
        <v>1029</v>
      </c>
      <c r="D5984" s="2" t="s">
        <v>6242</v>
      </c>
    </row>
    <row r="5985" spans="1:4" ht="13.05" customHeight="1" x14ac:dyDescent="0.3">
      <c r="A5985" s="2" t="s">
        <v>943</v>
      </c>
      <c r="B5985" s="2" t="s">
        <v>1199</v>
      </c>
      <c r="C5985" s="5" t="s">
        <v>1031</v>
      </c>
      <c r="D5985" s="2" t="s">
        <v>6243</v>
      </c>
    </row>
    <row r="5986" spans="1:4" ht="13.05" customHeight="1" x14ac:dyDescent="0.3">
      <c r="A5986" s="2" t="s">
        <v>943</v>
      </c>
      <c r="B5986" s="2" t="s">
        <v>1199</v>
      </c>
      <c r="C5986" s="5" t="s">
        <v>1042</v>
      </c>
      <c r="D5986" s="2" t="s">
        <v>6244</v>
      </c>
    </row>
    <row r="5987" spans="1:4" ht="13.05" customHeight="1" x14ac:dyDescent="0.3">
      <c r="A5987" s="2" t="s">
        <v>943</v>
      </c>
      <c r="B5987" s="2" t="s">
        <v>1199</v>
      </c>
      <c r="C5987" s="5" t="s">
        <v>1063</v>
      </c>
      <c r="D5987" s="2" t="s">
        <v>6245</v>
      </c>
    </row>
    <row r="5988" spans="1:4" ht="13.05" customHeight="1" x14ac:dyDescent="0.3">
      <c r="A5988" s="2" t="s">
        <v>943</v>
      </c>
      <c r="B5988" s="2" t="s">
        <v>1199</v>
      </c>
      <c r="C5988" s="5" t="s">
        <v>1065</v>
      </c>
      <c r="D5988" s="2" t="s">
        <v>3298</v>
      </c>
    </row>
    <row r="5989" spans="1:4" ht="13.05" customHeight="1" x14ac:dyDescent="0.3">
      <c r="A5989" s="2" t="s">
        <v>943</v>
      </c>
      <c r="B5989" s="2" t="s">
        <v>1199</v>
      </c>
      <c r="C5989" s="5" t="s">
        <v>3299</v>
      </c>
      <c r="D5989" s="2" t="s">
        <v>6246</v>
      </c>
    </row>
    <row r="5990" spans="1:4" ht="13.05" customHeight="1" x14ac:dyDescent="0.3">
      <c r="A5990" s="2" t="s">
        <v>945</v>
      </c>
      <c r="B5990" s="2" t="s">
        <v>1199</v>
      </c>
      <c r="C5990" s="5" t="s">
        <v>1044</v>
      </c>
      <c r="D5990" s="2" t="s">
        <v>1045</v>
      </c>
    </row>
    <row r="5991" spans="1:4" ht="13.05" customHeight="1" x14ac:dyDescent="0.3">
      <c r="A5991" s="2" t="s">
        <v>945</v>
      </c>
      <c r="B5991" s="2" t="s">
        <v>1199</v>
      </c>
      <c r="C5991" s="5" t="s">
        <v>1019</v>
      </c>
      <c r="D5991" s="2" t="s">
        <v>1020</v>
      </c>
    </row>
    <row r="5992" spans="1:4" ht="13.05" customHeight="1" x14ac:dyDescent="0.3">
      <c r="A5992" s="2" t="s">
        <v>947</v>
      </c>
      <c r="B5992" s="2" t="s">
        <v>1199</v>
      </c>
      <c r="C5992" s="5" t="s">
        <v>1044</v>
      </c>
      <c r="D5992" s="2" t="s">
        <v>1045</v>
      </c>
    </row>
    <row r="5993" spans="1:4" ht="13.05" customHeight="1" x14ac:dyDescent="0.3">
      <c r="A5993" s="2" t="s">
        <v>947</v>
      </c>
      <c r="B5993" s="2" t="s">
        <v>1199</v>
      </c>
      <c r="C5993" s="5" t="s">
        <v>1015</v>
      </c>
      <c r="D5993" s="2" t="s">
        <v>1016</v>
      </c>
    </row>
    <row r="5994" spans="1:4" ht="13.05" customHeight="1" x14ac:dyDescent="0.3">
      <c r="A5994" s="2" t="s">
        <v>947</v>
      </c>
      <c r="B5994" s="2" t="s">
        <v>1199</v>
      </c>
      <c r="C5994" s="5" t="s">
        <v>1017</v>
      </c>
      <c r="D5994" s="2" t="s">
        <v>1018</v>
      </c>
    </row>
    <row r="5995" spans="1:4" ht="13.05" customHeight="1" x14ac:dyDescent="0.3">
      <c r="A5995" s="2" t="s">
        <v>947</v>
      </c>
      <c r="B5995" s="2" t="s">
        <v>1199</v>
      </c>
      <c r="C5995" s="5" t="s">
        <v>1019</v>
      </c>
      <c r="D5995" s="2" t="s">
        <v>1020</v>
      </c>
    </row>
    <row r="5996" spans="1:4" ht="13.05" customHeight="1" x14ac:dyDescent="0.3">
      <c r="A5996" s="2" t="s">
        <v>950</v>
      </c>
      <c r="B5996" s="2" t="s">
        <v>1199</v>
      </c>
      <c r="C5996" s="5" t="s">
        <v>1044</v>
      </c>
      <c r="D5996" s="2" t="s">
        <v>1045</v>
      </c>
    </row>
    <row r="5997" spans="1:4" ht="13.05" customHeight="1" x14ac:dyDescent="0.3">
      <c r="A5997" s="2" t="s">
        <v>950</v>
      </c>
      <c r="B5997" s="2" t="s">
        <v>1199</v>
      </c>
      <c r="C5997" s="5" t="s">
        <v>1015</v>
      </c>
      <c r="D5997" s="2" t="s">
        <v>1016</v>
      </c>
    </row>
    <row r="5998" spans="1:4" ht="13.05" customHeight="1" x14ac:dyDescent="0.3">
      <c r="A5998" s="2" t="s">
        <v>950</v>
      </c>
      <c r="B5998" s="2" t="s">
        <v>1199</v>
      </c>
      <c r="C5998" s="5" t="s">
        <v>1017</v>
      </c>
      <c r="D5998" s="2" t="s">
        <v>1086</v>
      </c>
    </row>
    <row r="5999" spans="1:4" ht="13.05" customHeight="1" x14ac:dyDescent="0.3">
      <c r="A5999" s="2" t="s">
        <v>950</v>
      </c>
      <c r="B5999" s="2" t="s">
        <v>1199</v>
      </c>
      <c r="C5999" s="5" t="s">
        <v>1019</v>
      </c>
      <c r="D5999" s="2" t="s">
        <v>1020</v>
      </c>
    </row>
    <row r="6000" spans="1:4" ht="13.05" customHeight="1" x14ac:dyDescent="0.3">
      <c r="A6000" s="2" t="s">
        <v>950</v>
      </c>
      <c r="B6000" s="2" t="s">
        <v>1199</v>
      </c>
      <c r="C6000" s="5" t="s">
        <v>1021</v>
      </c>
      <c r="D6000" s="2" t="s">
        <v>6247</v>
      </c>
    </row>
    <row r="6001" spans="1:4" ht="13.05" customHeight="1" x14ac:dyDescent="0.3">
      <c r="A6001" s="2" t="s">
        <v>950</v>
      </c>
      <c r="B6001" s="2" t="s">
        <v>1199</v>
      </c>
      <c r="C6001" s="5" t="s">
        <v>1023</v>
      </c>
      <c r="D6001" s="2" t="s">
        <v>6248</v>
      </c>
    </row>
    <row r="6002" spans="1:4" ht="13.05" customHeight="1" x14ac:dyDescent="0.3">
      <c r="A6002" s="2" t="s">
        <v>952</v>
      </c>
      <c r="B6002" s="2" t="s">
        <v>1014</v>
      </c>
      <c r="C6002" s="5" t="s">
        <v>1015</v>
      </c>
      <c r="D6002" s="2" t="s">
        <v>1092</v>
      </c>
    </row>
    <row r="6003" spans="1:4" ht="13.05" customHeight="1" x14ac:dyDescent="0.3">
      <c r="A6003" s="2" t="s">
        <v>952</v>
      </c>
      <c r="B6003" s="2" t="s">
        <v>1014</v>
      </c>
      <c r="C6003" s="5" t="s">
        <v>1017</v>
      </c>
      <c r="D6003" s="2" t="s">
        <v>1086</v>
      </c>
    </row>
    <row r="6004" spans="1:4" ht="13.05" customHeight="1" x14ac:dyDescent="0.3">
      <c r="A6004" s="2" t="s">
        <v>952</v>
      </c>
      <c r="B6004" s="2" t="s">
        <v>1014</v>
      </c>
      <c r="C6004" s="5" t="s">
        <v>1019</v>
      </c>
      <c r="D6004" s="2" t="s">
        <v>1020</v>
      </c>
    </row>
    <row r="6005" spans="1:4" ht="13.05" customHeight="1" x14ac:dyDescent="0.3">
      <c r="A6005" s="2" t="s">
        <v>955</v>
      </c>
      <c r="B6005" s="2" t="s">
        <v>1014</v>
      </c>
      <c r="C6005" s="5" t="s">
        <v>1015</v>
      </c>
      <c r="D6005" s="2" t="s">
        <v>1016</v>
      </c>
    </row>
    <row r="6006" spans="1:4" ht="13.05" customHeight="1" x14ac:dyDescent="0.3">
      <c r="A6006" s="2" t="s">
        <v>955</v>
      </c>
      <c r="B6006" s="2" t="s">
        <v>1014</v>
      </c>
      <c r="C6006" s="5" t="s">
        <v>1017</v>
      </c>
      <c r="D6006" s="2" t="s">
        <v>1018</v>
      </c>
    </row>
    <row r="6007" spans="1:4" ht="13.05" customHeight="1" x14ac:dyDescent="0.3">
      <c r="A6007" s="2" t="s">
        <v>955</v>
      </c>
      <c r="B6007" s="2" t="s">
        <v>1014</v>
      </c>
      <c r="C6007" s="5" t="s">
        <v>1019</v>
      </c>
      <c r="D6007" s="2" t="s">
        <v>1020</v>
      </c>
    </row>
    <row r="6008" spans="1:4" ht="13.05" customHeight="1" x14ac:dyDescent="0.3">
      <c r="A6008" s="2" t="s">
        <v>955</v>
      </c>
      <c r="B6008" s="2" t="s">
        <v>1014</v>
      </c>
      <c r="C6008" s="5" t="s">
        <v>1021</v>
      </c>
      <c r="D6008" s="2" t="s">
        <v>6249</v>
      </c>
    </row>
    <row r="6009" spans="1:4" ht="13.05" customHeight="1" x14ac:dyDescent="0.3">
      <c r="A6009" s="2" t="s">
        <v>955</v>
      </c>
      <c r="B6009" s="2" t="s">
        <v>1014</v>
      </c>
      <c r="C6009" s="5" t="s">
        <v>1023</v>
      </c>
      <c r="D6009" s="2" t="s">
        <v>6250</v>
      </c>
    </row>
    <row r="6010" spans="1:4" ht="13.05" customHeight="1" x14ac:dyDescent="0.3">
      <c r="A6010" s="2" t="s">
        <v>958</v>
      </c>
      <c r="B6010" s="2" t="s">
        <v>1014</v>
      </c>
      <c r="C6010" s="5" t="s">
        <v>1044</v>
      </c>
      <c r="D6010" s="2" t="s">
        <v>1045</v>
      </c>
    </row>
    <row r="6011" spans="1:4" ht="13.05" customHeight="1" x14ac:dyDescent="0.3">
      <c r="A6011" s="2" t="s">
        <v>958</v>
      </c>
      <c r="B6011" s="2" t="s">
        <v>1014</v>
      </c>
      <c r="C6011" s="5" t="s">
        <v>1015</v>
      </c>
      <c r="D6011" s="2" t="s">
        <v>1092</v>
      </c>
    </row>
    <row r="6012" spans="1:4" ht="13.05" customHeight="1" x14ac:dyDescent="0.3">
      <c r="A6012" s="2" t="s">
        <v>958</v>
      </c>
      <c r="B6012" s="2" t="s">
        <v>1014</v>
      </c>
      <c r="C6012" s="5" t="s">
        <v>1017</v>
      </c>
      <c r="D6012" s="2" t="s">
        <v>1086</v>
      </c>
    </row>
    <row r="6013" spans="1:4" ht="13.05" customHeight="1" x14ac:dyDescent="0.3">
      <c r="A6013" s="2" t="s">
        <v>958</v>
      </c>
      <c r="B6013" s="2" t="s">
        <v>1014</v>
      </c>
      <c r="C6013" s="5" t="s">
        <v>1019</v>
      </c>
      <c r="D6013" s="2" t="s">
        <v>1020</v>
      </c>
    </row>
    <row r="6014" spans="1:4" ht="13.05" customHeight="1" x14ac:dyDescent="0.3">
      <c r="A6014" s="2" t="s">
        <v>958</v>
      </c>
      <c r="B6014" s="2" t="s">
        <v>1014</v>
      </c>
      <c r="C6014" s="5" t="s">
        <v>1021</v>
      </c>
      <c r="D6014" s="2" t="s">
        <v>1106</v>
      </c>
    </row>
    <row r="6015" spans="1:4" ht="13.05" customHeight="1" x14ac:dyDescent="0.3">
      <c r="A6015" s="2" t="s">
        <v>958</v>
      </c>
      <c r="B6015" s="2" t="s">
        <v>1014</v>
      </c>
      <c r="C6015" s="5" t="s">
        <v>1023</v>
      </c>
      <c r="D6015" s="2" t="s">
        <v>1107</v>
      </c>
    </row>
    <row r="6016" spans="1:4" ht="13.05" customHeight="1" x14ac:dyDescent="0.3">
      <c r="A6016" s="2" t="s">
        <v>961</v>
      </c>
      <c r="B6016" s="2" t="s">
        <v>1014</v>
      </c>
      <c r="C6016" s="5" t="s">
        <v>1044</v>
      </c>
      <c r="D6016" s="2" t="s">
        <v>1045</v>
      </c>
    </row>
    <row r="6017" spans="1:4" ht="13.05" customHeight="1" x14ac:dyDescent="0.3">
      <c r="A6017" s="2" t="s">
        <v>961</v>
      </c>
      <c r="B6017" s="2" t="s">
        <v>1014</v>
      </c>
      <c r="C6017" s="5" t="s">
        <v>1021</v>
      </c>
      <c r="D6017" s="2" t="s">
        <v>3078</v>
      </c>
    </row>
    <row r="6018" spans="1:4" ht="13.05" customHeight="1" x14ac:dyDescent="0.3">
      <c r="A6018" s="2" t="s">
        <v>961</v>
      </c>
      <c r="B6018" s="2" t="s">
        <v>1014</v>
      </c>
      <c r="C6018" s="5" t="s">
        <v>1023</v>
      </c>
      <c r="D6018" s="2" t="s">
        <v>3079</v>
      </c>
    </row>
    <row r="6019" spans="1:4" ht="13.05" customHeight="1" x14ac:dyDescent="0.3">
      <c r="A6019" s="2" t="s">
        <v>961</v>
      </c>
      <c r="B6019" s="2" t="s">
        <v>1014</v>
      </c>
      <c r="C6019" s="5" t="s">
        <v>1027</v>
      </c>
      <c r="D6019" s="2" t="s">
        <v>3080</v>
      </c>
    </row>
    <row r="6020" spans="1:4" ht="13.05" customHeight="1" x14ac:dyDescent="0.3">
      <c r="A6020" s="2" t="s">
        <v>961</v>
      </c>
      <c r="B6020" s="2" t="s">
        <v>1014</v>
      </c>
      <c r="C6020" s="5" t="s">
        <v>1029</v>
      </c>
      <c r="D6020" s="2" t="s">
        <v>3081</v>
      </c>
    </row>
    <row r="6021" spans="1:4" ht="13.05" customHeight="1" x14ac:dyDescent="0.3">
      <c r="A6021" s="2" t="s">
        <v>961</v>
      </c>
      <c r="B6021" s="2" t="s">
        <v>1014</v>
      </c>
      <c r="C6021" s="5" t="s">
        <v>1031</v>
      </c>
      <c r="D6021" s="2" t="s">
        <v>3082</v>
      </c>
    </row>
    <row r="6022" spans="1:4" ht="13.05" customHeight="1" x14ac:dyDescent="0.3">
      <c r="A6022" s="2" t="s">
        <v>961</v>
      </c>
      <c r="B6022" s="2" t="s">
        <v>1014</v>
      </c>
      <c r="C6022" s="5" t="s">
        <v>1042</v>
      </c>
      <c r="D6022" s="2" t="s">
        <v>3083</v>
      </c>
    </row>
    <row r="6023" spans="1:4" ht="13.05" customHeight="1" x14ac:dyDescent="0.3">
      <c r="A6023" s="2" t="s">
        <v>961</v>
      </c>
      <c r="B6023" s="2" t="s">
        <v>1014</v>
      </c>
      <c r="C6023" s="5" t="s">
        <v>1061</v>
      </c>
      <c r="D6023" s="2" t="s">
        <v>3084</v>
      </c>
    </row>
    <row r="6024" spans="1:4" ht="13.05" customHeight="1" x14ac:dyDescent="0.3">
      <c r="A6024" s="2" t="s">
        <v>961</v>
      </c>
      <c r="B6024" s="2" t="s">
        <v>1014</v>
      </c>
      <c r="C6024" s="5" t="s">
        <v>1063</v>
      </c>
      <c r="D6024" s="2" t="s">
        <v>3085</v>
      </c>
    </row>
    <row r="6025" spans="1:4" ht="13.05" customHeight="1" x14ac:dyDescent="0.3">
      <c r="A6025" s="2" t="s">
        <v>961</v>
      </c>
      <c r="B6025" s="2" t="s">
        <v>1014</v>
      </c>
      <c r="C6025" s="5" t="s">
        <v>1065</v>
      </c>
      <c r="D6025" s="2" t="s">
        <v>3086</v>
      </c>
    </row>
    <row r="6026" spans="1:4" ht="13.05" customHeight="1" x14ac:dyDescent="0.3">
      <c r="A6026" s="2" t="s">
        <v>961</v>
      </c>
      <c r="B6026" s="2" t="s">
        <v>1014</v>
      </c>
      <c r="C6026" s="5" t="s">
        <v>1067</v>
      </c>
      <c r="D6026" s="2" t="s">
        <v>3087</v>
      </c>
    </row>
    <row r="6027" spans="1:4" ht="13.05" customHeight="1" x14ac:dyDescent="0.3">
      <c r="A6027" s="2" t="s">
        <v>961</v>
      </c>
      <c r="B6027" s="2" t="s">
        <v>1014</v>
      </c>
      <c r="C6027" s="5" t="s">
        <v>1069</v>
      </c>
      <c r="D6027" s="2" t="s">
        <v>3088</v>
      </c>
    </row>
    <row r="6028" spans="1:4" ht="13.05" customHeight="1" x14ac:dyDescent="0.3">
      <c r="A6028" s="2" t="s">
        <v>961</v>
      </c>
      <c r="B6028" s="2" t="s">
        <v>1014</v>
      </c>
      <c r="C6028" s="5" t="s">
        <v>1073</v>
      </c>
      <c r="D6028" s="2" t="s">
        <v>3089</v>
      </c>
    </row>
    <row r="6029" spans="1:4" ht="13.05" customHeight="1" x14ac:dyDescent="0.3">
      <c r="A6029" s="2" t="s">
        <v>961</v>
      </c>
      <c r="B6029" s="2" t="s">
        <v>1014</v>
      </c>
      <c r="C6029" s="5" t="s">
        <v>1075</v>
      </c>
      <c r="D6029" s="2" t="s">
        <v>3090</v>
      </c>
    </row>
    <row r="6030" spans="1:4" ht="13.05" customHeight="1" x14ac:dyDescent="0.3">
      <c r="A6030" s="2" t="s">
        <v>961</v>
      </c>
      <c r="B6030" s="2" t="s">
        <v>1014</v>
      </c>
      <c r="C6030" s="5" t="s">
        <v>1077</v>
      </c>
      <c r="D6030" s="2" t="s">
        <v>3091</v>
      </c>
    </row>
    <row r="6031" spans="1:4" ht="13.05" customHeight="1" x14ac:dyDescent="0.3">
      <c r="A6031" s="2" t="s">
        <v>961</v>
      </c>
      <c r="B6031" s="2" t="s">
        <v>1014</v>
      </c>
      <c r="C6031" s="5" t="s">
        <v>1079</v>
      </c>
      <c r="D6031" s="2" t="s">
        <v>3092</v>
      </c>
    </row>
    <row r="6032" spans="1:4" ht="13.05" customHeight="1" x14ac:dyDescent="0.3">
      <c r="A6032" s="2" t="s">
        <v>961</v>
      </c>
      <c r="B6032" s="2" t="s">
        <v>1014</v>
      </c>
      <c r="C6032" s="5" t="s">
        <v>1081</v>
      </c>
      <c r="D6032" s="2" t="s">
        <v>3093</v>
      </c>
    </row>
    <row r="6033" spans="1:4" ht="13.05" customHeight="1" x14ac:dyDescent="0.3">
      <c r="A6033" s="2" t="s">
        <v>961</v>
      </c>
      <c r="B6033" s="2" t="s">
        <v>1014</v>
      </c>
      <c r="C6033" s="5" t="s">
        <v>1222</v>
      </c>
      <c r="D6033" s="2" t="s">
        <v>3094</v>
      </c>
    </row>
    <row r="6034" spans="1:4" ht="13.05" customHeight="1" x14ac:dyDescent="0.3">
      <c r="A6034" s="2" t="s">
        <v>961</v>
      </c>
      <c r="B6034" s="2" t="s">
        <v>1014</v>
      </c>
      <c r="C6034" s="5" t="s">
        <v>1114</v>
      </c>
      <c r="D6034" s="2" t="s">
        <v>3095</v>
      </c>
    </row>
    <row r="6035" spans="1:4" ht="13.05" customHeight="1" x14ac:dyDescent="0.3">
      <c r="A6035" s="2" t="s">
        <v>961</v>
      </c>
      <c r="B6035" s="2" t="s">
        <v>1014</v>
      </c>
      <c r="C6035" s="5" t="s">
        <v>1116</v>
      </c>
      <c r="D6035" s="2" t="s">
        <v>3096</v>
      </c>
    </row>
    <row r="6036" spans="1:4" ht="13.05" customHeight="1" x14ac:dyDescent="0.3">
      <c r="A6036" s="2" t="s">
        <v>961</v>
      </c>
      <c r="B6036" s="2" t="s">
        <v>1014</v>
      </c>
      <c r="C6036" s="5" t="s">
        <v>1118</v>
      </c>
      <c r="D6036" s="2" t="s">
        <v>3097</v>
      </c>
    </row>
    <row r="6037" spans="1:4" ht="13.05" customHeight="1" x14ac:dyDescent="0.3">
      <c r="A6037" s="2" t="s">
        <v>961</v>
      </c>
      <c r="B6037" s="2" t="s">
        <v>1014</v>
      </c>
      <c r="C6037" s="5" t="s">
        <v>1120</v>
      </c>
      <c r="D6037" s="2" t="s">
        <v>3098</v>
      </c>
    </row>
    <row r="6038" spans="1:4" ht="13.05" customHeight="1" x14ac:dyDescent="0.3">
      <c r="A6038" s="2" t="s">
        <v>961</v>
      </c>
      <c r="B6038" s="2" t="s">
        <v>1014</v>
      </c>
      <c r="C6038" s="5" t="s">
        <v>3099</v>
      </c>
      <c r="D6038" s="2" t="s">
        <v>3100</v>
      </c>
    </row>
    <row r="6039" spans="1:4" ht="13.05" customHeight="1" x14ac:dyDescent="0.3">
      <c r="A6039" s="2" t="s">
        <v>961</v>
      </c>
      <c r="B6039" s="2" t="s">
        <v>1014</v>
      </c>
      <c r="C6039" s="5" t="s">
        <v>3101</v>
      </c>
      <c r="D6039" s="2" t="s">
        <v>3102</v>
      </c>
    </row>
    <row r="6040" spans="1:4" ht="13.05" customHeight="1" x14ac:dyDescent="0.3">
      <c r="A6040" s="2" t="s">
        <v>961</v>
      </c>
      <c r="B6040" s="2" t="s">
        <v>1014</v>
      </c>
      <c r="C6040" s="5" t="s">
        <v>3103</v>
      </c>
      <c r="D6040" s="2" t="s">
        <v>3104</v>
      </c>
    </row>
    <row r="6041" spans="1:4" ht="13.05" customHeight="1" x14ac:dyDescent="0.3">
      <c r="A6041" s="2" t="s">
        <v>961</v>
      </c>
      <c r="B6041" s="2" t="s">
        <v>1014</v>
      </c>
      <c r="C6041" s="5" t="s">
        <v>3105</v>
      </c>
      <c r="D6041" s="2" t="s">
        <v>3106</v>
      </c>
    </row>
    <row r="6042" spans="1:4" ht="13.05" customHeight="1" x14ac:dyDescent="0.3">
      <c r="A6042" s="2" t="s">
        <v>961</v>
      </c>
      <c r="B6042" s="2" t="s">
        <v>1014</v>
      </c>
      <c r="C6042" s="5" t="s">
        <v>3107</v>
      </c>
      <c r="D6042" s="2" t="s">
        <v>3108</v>
      </c>
    </row>
    <row r="6043" spans="1:4" ht="13.05" customHeight="1" x14ac:dyDescent="0.3">
      <c r="A6043" s="2" t="s">
        <v>961</v>
      </c>
      <c r="B6043" s="2" t="s">
        <v>1014</v>
      </c>
      <c r="C6043" s="5" t="s">
        <v>1224</v>
      </c>
      <c r="D6043" s="2" t="s">
        <v>3109</v>
      </c>
    </row>
    <row r="6044" spans="1:4" ht="13.05" customHeight="1" x14ac:dyDescent="0.3">
      <c r="A6044" s="2" t="s">
        <v>961</v>
      </c>
      <c r="B6044" s="2" t="s">
        <v>1014</v>
      </c>
      <c r="C6044" s="5" t="s">
        <v>1122</v>
      </c>
      <c r="D6044" s="2" t="s">
        <v>3110</v>
      </c>
    </row>
    <row r="6045" spans="1:4" ht="13.05" customHeight="1" x14ac:dyDescent="0.3">
      <c r="A6045" s="2" t="s">
        <v>961</v>
      </c>
      <c r="B6045" s="2" t="s">
        <v>1014</v>
      </c>
      <c r="C6045" s="5" t="s">
        <v>1124</v>
      </c>
      <c r="D6045" s="2" t="s">
        <v>3111</v>
      </c>
    </row>
    <row r="6046" spans="1:4" ht="13.05" customHeight="1" x14ac:dyDescent="0.3">
      <c r="A6046" s="2" t="s">
        <v>961</v>
      </c>
      <c r="B6046" s="2" t="s">
        <v>1014</v>
      </c>
      <c r="C6046" s="5" t="s">
        <v>1126</v>
      </c>
      <c r="D6046" s="2" t="s">
        <v>3112</v>
      </c>
    </row>
    <row r="6047" spans="1:4" ht="13.05" customHeight="1" x14ac:dyDescent="0.3">
      <c r="A6047" s="2" t="s">
        <v>961</v>
      </c>
      <c r="B6047" s="2" t="s">
        <v>1014</v>
      </c>
      <c r="C6047" s="5" t="s">
        <v>1128</v>
      </c>
      <c r="D6047" s="2" t="s">
        <v>3113</v>
      </c>
    </row>
    <row r="6048" spans="1:4" ht="13.05" customHeight="1" x14ac:dyDescent="0.3">
      <c r="A6048" s="2" t="s">
        <v>961</v>
      </c>
      <c r="B6048" s="2" t="s">
        <v>1014</v>
      </c>
      <c r="C6048" s="5" t="s">
        <v>3114</v>
      </c>
      <c r="D6048" s="2" t="s">
        <v>3115</v>
      </c>
    </row>
    <row r="6049" spans="1:4" ht="13.05" customHeight="1" x14ac:dyDescent="0.3">
      <c r="A6049" s="2" t="s">
        <v>961</v>
      </c>
      <c r="B6049" s="2" t="s">
        <v>1014</v>
      </c>
      <c r="C6049" s="5" t="s">
        <v>3116</v>
      </c>
      <c r="D6049" s="2" t="s">
        <v>3117</v>
      </c>
    </row>
    <row r="6050" spans="1:4" ht="13.05" customHeight="1" x14ac:dyDescent="0.3">
      <c r="A6050" s="2" t="s">
        <v>961</v>
      </c>
      <c r="B6050" s="2" t="s">
        <v>1014</v>
      </c>
      <c r="C6050" s="5" t="s">
        <v>3118</v>
      </c>
      <c r="D6050" s="2" t="s">
        <v>3119</v>
      </c>
    </row>
    <row r="6051" spans="1:4" ht="13.05" customHeight="1" x14ac:dyDescent="0.3">
      <c r="A6051" s="2" t="s">
        <v>961</v>
      </c>
      <c r="B6051" s="2" t="s">
        <v>1014</v>
      </c>
      <c r="C6051" s="5" t="s">
        <v>3120</v>
      </c>
      <c r="D6051" s="2" t="s">
        <v>3121</v>
      </c>
    </row>
    <row r="6052" spans="1:4" ht="13.05" customHeight="1" x14ac:dyDescent="0.3">
      <c r="A6052" s="2" t="s">
        <v>961</v>
      </c>
      <c r="B6052" s="2" t="s">
        <v>1014</v>
      </c>
      <c r="C6052" s="5" t="s">
        <v>3122</v>
      </c>
      <c r="D6052" s="2" t="s">
        <v>3123</v>
      </c>
    </row>
    <row r="6053" spans="1:4" ht="13.05" customHeight="1" x14ac:dyDescent="0.3">
      <c r="A6053" s="2" t="s">
        <v>961</v>
      </c>
      <c r="B6053" s="2" t="s">
        <v>1014</v>
      </c>
      <c r="C6053" s="5" t="s">
        <v>1226</v>
      </c>
      <c r="D6053" s="2" t="s">
        <v>3124</v>
      </c>
    </row>
    <row r="6054" spans="1:4" ht="13.05" customHeight="1" x14ac:dyDescent="0.3">
      <c r="A6054" s="2" t="s">
        <v>961</v>
      </c>
      <c r="B6054" s="2" t="s">
        <v>1014</v>
      </c>
      <c r="C6054" s="5" t="s">
        <v>1130</v>
      </c>
      <c r="D6054" s="2" t="s">
        <v>3125</v>
      </c>
    </row>
    <row r="6055" spans="1:4" ht="13.05" customHeight="1" x14ac:dyDescent="0.3">
      <c r="A6055" s="2" t="s">
        <v>961</v>
      </c>
      <c r="B6055" s="2" t="s">
        <v>1014</v>
      </c>
      <c r="C6055" s="5" t="s">
        <v>1132</v>
      </c>
      <c r="D6055" s="2" t="s">
        <v>3126</v>
      </c>
    </row>
    <row r="6056" spans="1:4" ht="13.05" customHeight="1" x14ac:dyDescent="0.3">
      <c r="A6056" s="2" t="s">
        <v>961</v>
      </c>
      <c r="B6056" s="2" t="s">
        <v>1014</v>
      </c>
      <c r="C6056" s="5" t="s">
        <v>1136</v>
      </c>
      <c r="D6056" s="2" t="s">
        <v>3127</v>
      </c>
    </row>
    <row r="6057" spans="1:4" ht="13.05" customHeight="1" x14ac:dyDescent="0.3">
      <c r="A6057" s="2" t="s">
        <v>961</v>
      </c>
      <c r="B6057" s="2" t="s">
        <v>1014</v>
      </c>
      <c r="C6057" s="5" t="s">
        <v>3128</v>
      </c>
      <c r="D6057" s="2" t="s">
        <v>3129</v>
      </c>
    </row>
    <row r="6058" spans="1:4" ht="13.05" customHeight="1" x14ac:dyDescent="0.3">
      <c r="A6058" s="2" t="s">
        <v>961</v>
      </c>
      <c r="B6058" s="2" t="s">
        <v>1014</v>
      </c>
      <c r="C6058" s="5" t="s">
        <v>3130</v>
      </c>
      <c r="D6058" s="2" t="s">
        <v>3131</v>
      </c>
    </row>
    <row r="6059" spans="1:4" ht="13.05" customHeight="1" x14ac:dyDescent="0.3">
      <c r="A6059" s="2" t="s">
        <v>961</v>
      </c>
      <c r="B6059" s="2" t="s">
        <v>1014</v>
      </c>
      <c r="C6059" s="5" t="s">
        <v>3132</v>
      </c>
      <c r="D6059" s="2" t="s">
        <v>3133</v>
      </c>
    </row>
    <row r="6060" spans="1:4" ht="13.05" customHeight="1" x14ac:dyDescent="0.3">
      <c r="A6060" s="2" t="s">
        <v>961</v>
      </c>
      <c r="B6060" s="2" t="s">
        <v>1014</v>
      </c>
      <c r="C6060" s="5" t="s">
        <v>3134</v>
      </c>
      <c r="D6060" s="2" t="s">
        <v>3135</v>
      </c>
    </row>
    <row r="6061" spans="1:4" ht="13.05" customHeight="1" x14ac:dyDescent="0.3">
      <c r="A6061" s="2" t="s">
        <v>961</v>
      </c>
      <c r="B6061" s="2" t="s">
        <v>1014</v>
      </c>
      <c r="C6061" s="5" t="s">
        <v>3136</v>
      </c>
      <c r="D6061" s="2" t="s">
        <v>3137</v>
      </c>
    </row>
    <row r="6062" spans="1:4" ht="13.05" customHeight="1" x14ac:dyDescent="0.3">
      <c r="A6062" s="2" t="s">
        <v>961</v>
      </c>
      <c r="B6062" s="2" t="s">
        <v>1014</v>
      </c>
      <c r="C6062" s="5" t="s">
        <v>1228</v>
      </c>
      <c r="D6062" s="2" t="s">
        <v>3138</v>
      </c>
    </row>
    <row r="6063" spans="1:4" ht="13.05" customHeight="1" x14ac:dyDescent="0.3">
      <c r="A6063" s="2" t="s">
        <v>961</v>
      </c>
      <c r="B6063" s="2" t="s">
        <v>1014</v>
      </c>
      <c r="C6063" s="5" t="s">
        <v>1138</v>
      </c>
      <c r="D6063" s="2" t="s">
        <v>3139</v>
      </c>
    </row>
    <row r="6064" spans="1:4" ht="13.05" customHeight="1" x14ac:dyDescent="0.3">
      <c r="A6064" s="2" t="s">
        <v>961</v>
      </c>
      <c r="B6064" s="2" t="s">
        <v>1014</v>
      </c>
      <c r="C6064" s="5" t="s">
        <v>1142</v>
      </c>
      <c r="D6064" s="2" t="s">
        <v>3140</v>
      </c>
    </row>
    <row r="6065" spans="1:4" ht="13.05" customHeight="1" x14ac:dyDescent="0.3">
      <c r="A6065" s="2" t="s">
        <v>961</v>
      </c>
      <c r="B6065" s="2" t="s">
        <v>1014</v>
      </c>
      <c r="C6065" s="5" t="s">
        <v>1144</v>
      </c>
      <c r="D6065" s="2" t="s">
        <v>3141</v>
      </c>
    </row>
    <row r="6066" spans="1:4" ht="13.05" customHeight="1" x14ac:dyDescent="0.3">
      <c r="A6066" s="2" t="s">
        <v>961</v>
      </c>
      <c r="B6066" s="2" t="s">
        <v>1014</v>
      </c>
      <c r="C6066" s="5" t="s">
        <v>3142</v>
      </c>
      <c r="D6066" s="2" t="s">
        <v>3143</v>
      </c>
    </row>
    <row r="6067" spans="1:4" ht="13.05" customHeight="1" x14ac:dyDescent="0.3">
      <c r="A6067" s="2" t="s">
        <v>961</v>
      </c>
      <c r="B6067" s="2" t="s">
        <v>1014</v>
      </c>
      <c r="C6067" s="5" t="s">
        <v>3144</v>
      </c>
      <c r="D6067" s="2" t="s">
        <v>3145</v>
      </c>
    </row>
    <row r="6068" spans="1:4" ht="13.05" customHeight="1" x14ac:dyDescent="0.3">
      <c r="A6068" s="2" t="s">
        <v>963</v>
      </c>
      <c r="B6068" s="2" t="s">
        <v>1014</v>
      </c>
      <c r="C6068" s="5" t="s">
        <v>1044</v>
      </c>
      <c r="D6068" s="2" t="s">
        <v>1045</v>
      </c>
    </row>
    <row r="6069" spans="1:4" ht="13.05" customHeight="1" x14ac:dyDescent="0.3">
      <c r="A6069" s="2" t="s">
        <v>963</v>
      </c>
      <c r="B6069" s="2" t="s">
        <v>1014</v>
      </c>
      <c r="C6069" s="5" t="s">
        <v>1015</v>
      </c>
      <c r="D6069" s="2" t="s">
        <v>1016</v>
      </c>
    </row>
    <row r="6070" spans="1:4" ht="13.05" customHeight="1" x14ac:dyDescent="0.3">
      <c r="A6070" s="2" t="s">
        <v>963</v>
      </c>
      <c r="B6070" s="2" t="s">
        <v>1014</v>
      </c>
      <c r="C6070" s="5" t="s">
        <v>1017</v>
      </c>
      <c r="D6070" s="2" t="s">
        <v>1018</v>
      </c>
    </row>
    <row r="6071" spans="1:4" ht="13.05" customHeight="1" x14ac:dyDescent="0.3">
      <c r="A6071" s="2" t="s">
        <v>963</v>
      </c>
      <c r="B6071" s="2" t="s">
        <v>1014</v>
      </c>
      <c r="C6071" s="5" t="s">
        <v>1019</v>
      </c>
      <c r="D6071" s="2" t="s">
        <v>1020</v>
      </c>
    </row>
    <row r="6072" spans="1:4" ht="13.05" customHeight="1" x14ac:dyDescent="0.3">
      <c r="A6072" s="2" t="s">
        <v>963</v>
      </c>
      <c r="B6072" s="2" t="s">
        <v>1014</v>
      </c>
      <c r="C6072" s="5" t="s">
        <v>1219</v>
      </c>
      <c r="D6072" s="2" t="s">
        <v>1104</v>
      </c>
    </row>
    <row r="6073" spans="1:4" ht="13.05" customHeight="1" x14ac:dyDescent="0.3">
      <c r="A6073" s="2" t="s">
        <v>963</v>
      </c>
      <c r="B6073" s="2" t="s">
        <v>1014</v>
      </c>
      <c r="C6073" s="5" t="s">
        <v>1021</v>
      </c>
      <c r="D6073" s="2" t="s">
        <v>3302</v>
      </c>
    </row>
    <row r="6074" spans="1:4" ht="13.05" customHeight="1" x14ac:dyDescent="0.3">
      <c r="A6074" s="2" t="s">
        <v>963</v>
      </c>
      <c r="B6074" s="2" t="s">
        <v>1014</v>
      </c>
      <c r="C6074" s="5" t="s">
        <v>1023</v>
      </c>
      <c r="D6074" s="2" t="s">
        <v>3303</v>
      </c>
    </row>
    <row r="6075" spans="1:4" ht="13.05" customHeight="1" x14ac:dyDescent="0.3">
      <c r="A6075" s="2" t="s">
        <v>963</v>
      </c>
      <c r="B6075" s="2" t="s">
        <v>1014</v>
      </c>
      <c r="C6075" s="5" t="s">
        <v>1025</v>
      </c>
      <c r="D6075" s="2" t="s">
        <v>3304</v>
      </c>
    </row>
    <row r="6076" spans="1:4" ht="13.05" customHeight="1" x14ac:dyDescent="0.3">
      <c r="A6076" s="2" t="s">
        <v>963</v>
      </c>
      <c r="B6076" s="2" t="s">
        <v>1014</v>
      </c>
      <c r="C6076" s="5" t="s">
        <v>1027</v>
      </c>
      <c r="D6076" s="2" t="s">
        <v>3305</v>
      </c>
    </row>
    <row r="6077" spans="1:4" ht="13.05" customHeight="1" x14ac:dyDescent="0.3">
      <c r="A6077" s="2" t="s">
        <v>963</v>
      </c>
      <c r="B6077" s="2" t="s">
        <v>1014</v>
      </c>
      <c r="C6077" s="5" t="s">
        <v>1029</v>
      </c>
      <c r="D6077" s="2" t="s">
        <v>3306</v>
      </c>
    </row>
    <row r="6078" spans="1:4" ht="13.05" customHeight="1" x14ac:dyDescent="0.3">
      <c r="A6078" s="2" t="s">
        <v>963</v>
      </c>
      <c r="B6078" s="2" t="s">
        <v>1014</v>
      </c>
      <c r="C6078" s="5" t="s">
        <v>1031</v>
      </c>
      <c r="D6078" s="2" t="s">
        <v>3307</v>
      </c>
    </row>
    <row r="6079" spans="1:4" ht="13.05" customHeight="1" x14ac:dyDescent="0.3">
      <c r="A6079" s="2" t="s">
        <v>963</v>
      </c>
      <c r="B6079" s="2" t="s">
        <v>1014</v>
      </c>
      <c r="C6079" s="5" t="s">
        <v>1040</v>
      </c>
      <c r="D6079" s="2" t="s">
        <v>3308</v>
      </c>
    </row>
    <row r="6080" spans="1:4" ht="13.05" customHeight="1" x14ac:dyDescent="0.3">
      <c r="A6080" s="2" t="s">
        <v>963</v>
      </c>
      <c r="B6080" s="2" t="s">
        <v>1014</v>
      </c>
      <c r="C6080" s="5" t="s">
        <v>1042</v>
      </c>
      <c r="D6080" s="2" t="s">
        <v>3309</v>
      </c>
    </row>
    <row r="6081" spans="1:4" ht="13.05" customHeight="1" x14ac:dyDescent="0.3">
      <c r="A6081" s="2" t="s">
        <v>963</v>
      </c>
      <c r="B6081" s="2" t="s">
        <v>1014</v>
      </c>
      <c r="C6081" s="5" t="s">
        <v>1052</v>
      </c>
      <c r="D6081" s="2" t="s">
        <v>1083</v>
      </c>
    </row>
    <row r="6082" spans="1:4" ht="13.05" customHeight="1" x14ac:dyDescent="0.3">
      <c r="A6082" s="2" t="s">
        <v>965</v>
      </c>
      <c r="B6082" s="2" t="s">
        <v>1014</v>
      </c>
      <c r="C6082" s="5" t="s">
        <v>1044</v>
      </c>
      <c r="D6082" s="2" t="s">
        <v>1045</v>
      </c>
    </row>
    <row r="6083" spans="1:4" ht="13.05" customHeight="1" x14ac:dyDescent="0.3">
      <c r="A6083" s="2" t="s">
        <v>965</v>
      </c>
      <c r="B6083" s="2" t="s">
        <v>1014</v>
      </c>
      <c r="C6083" s="5" t="s">
        <v>1015</v>
      </c>
      <c r="D6083" s="2" t="s">
        <v>1016</v>
      </c>
    </row>
    <row r="6084" spans="1:4" ht="13.05" customHeight="1" x14ac:dyDescent="0.3">
      <c r="A6084" s="2" t="s">
        <v>965</v>
      </c>
      <c r="B6084" s="2" t="s">
        <v>1014</v>
      </c>
      <c r="C6084" s="5" t="s">
        <v>1017</v>
      </c>
      <c r="D6084" s="2" t="s">
        <v>1018</v>
      </c>
    </row>
    <row r="6085" spans="1:4" ht="13.05" customHeight="1" x14ac:dyDescent="0.3">
      <c r="A6085" s="2" t="s">
        <v>965</v>
      </c>
      <c r="B6085" s="2" t="s">
        <v>1014</v>
      </c>
      <c r="C6085" s="5" t="s">
        <v>1019</v>
      </c>
      <c r="D6085" s="2" t="s">
        <v>1020</v>
      </c>
    </row>
    <row r="6086" spans="1:4" ht="13.05" customHeight="1" x14ac:dyDescent="0.3">
      <c r="A6086" s="2" t="s">
        <v>965</v>
      </c>
      <c r="B6086" s="2" t="s">
        <v>1014</v>
      </c>
      <c r="C6086" s="5" t="s">
        <v>1219</v>
      </c>
      <c r="D6086" s="2" t="s">
        <v>1104</v>
      </c>
    </row>
    <row r="6087" spans="1:4" ht="13.05" customHeight="1" x14ac:dyDescent="0.3">
      <c r="A6087" s="2" t="s">
        <v>965</v>
      </c>
      <c r="B6087" s="2" t="s">
        <v>1014</v>
      </c>
      <c r="C6087" s="5" t="s">
        <v>1021</v>
      </c>
      <c r="D6087" s="2" t="s">
        <v>3302</v>
      </c>
    </row>
    <row r="6088" spans="1:4" ht="13.05" customHeight="1" x14ac:dyDescent="0.3">
      <c r="A6088" s="2" t="s">
        <v>965</v>
      </c>
      <c r="B6088" s="2" t="s">
        <v>1014</v>
      </c>
      <c r="C6088" s="5" t="s">
        <v>1023</v>
      </c>
      <c r="D6088" s="2" t="s">
        <v>3303</v>
      </c>
    </row>
    <row r="6089" spans="1:4" ht="13.05" customHeight="1" x14ac:dyDescent="0.3">
      <c r="A6089" s="2" t="s">
        <v>965</v>
      </c>
      <c r="B6089" s="2" t="s">
        <v>1014</v>
      </c>
      <c r="C6089" s="5" t="s">
        <v>1025</v>
      </c>
      <c r="D6089" s="2" t="s">
        <v>3304</v>
      </c>
    </row>
    <row r="6090" spans="1:4" ht="13.05" customHeight="1" x14ac:dyDescent="0.3">
      <c r="A6090" s="2" t="s">
        <v>965</v>
      </c>
      <c r="B6090" s="2" t="s">
        <v>1014</v>
      </c>
      <c r="C6090" s="5" t="s">
        <v>1027</v>
      </c>
      <c r="D6090" s="2" t="s">
        <v>3305</v>
      </c>
    </row>
    <row r="6091" spans="1:4" ht="13.05" customHeight="1" x14ac:dyDescent="0.3">
      <c r="A6091" s="2" t="s">
        <v>965</v>
      </c>
      <c r="B6091" s="2" t="s">
        <v>1014</v>
      </c>
      <c r="C6091" s="5" t="s">
        <v>1029</v>
      </c>
      <c r="D6091" s="2" t="s">
        <v>3306</v>
      </c>
    </row>
    <row r="6092" spans="1:4" ht="13.05" customHeight="1" x14ac:dyDescent="0.3">
      <c r="A6092" s="2" t="s">
        <v>965</v>
      </c>
      <c r="B6092" s="2" t="s">
        <v>1014</v>
      </c>
      <c r="C6092" s="5" t="s">
        <v>1031</v>
      </c>
      <c r="D6092" s="2" t="s">
        <v>3307</v>
      </c>
    </row>
    <row r="6093" spans="1:4" ht="13.05" customHeight="1" x14ac:dyDescent="0.3">
      <c r="A6093" s="2" t="s">
        <v>965</v>
      </c>
      <c r="B6093" s="2" t="s">
        <v>1014</v>
      </c>
      <c r="C6093" s="5" t="s">
        <v>1040</v>
      </c>
      <c r="D6093" s="2" t="s">
        <v>3308</v>
      </c>
    </row>
    <row r="6094" spans="1:4" ht="13.05" customHeight="1" x14ac:dyDescent="0.3">
      <c r="A6094" s="2" t="s">
        <v>965</v>
      </c>
      <c r="B6094" s="2" t="s">
        <v>1014</v>
      </c>
      <c r="C6094" s="5" t="s">
        <v>1042</v>
      </c>
      <c r="D6094" s="2" t="s">
        <v>3309</v>
      </c>
    </row>
    <row r="6095" spans="1:4" ht="13.05" customHeight="1" x14ac:dyDescent="0.3">
      <c r="A6095" s="2" t="s">
        <v>965</v>
      </c>
      <c r="B6095" s="2" t="s">
        <v>1014</v>
      </c>
      <c r="C6095" s="5" t="s">
        <v>1052</v>
      </c>
      <c r="D6095" s="2" t="s">
        <v>1083</v>
      </c>
    </row>
    <row r="6096" spans="1:4" ht="13.05" customHeight="1" x14ac:dyDescent="0.3">
      <c r="A6096" s="2" t="s">
        <v>967</v>
      </c>
      <c r="B6096" s="2" t="s">
        <v>1014</v>
      </c>
      <c r="C6096" s="5" t="s">
        <v>1044</v>
      </c>
      <c r="D6096" s="2" t="s">
        <v>1045</v>
      </c>
    </row>
    <row r="6097" spans="1:4" ht="13.05" customHeight="1" x14ac:dyDescent="0.3">
      <c r="A6097" s="2" t="s">
        <v>967</v>
      </c>
      <c r="B6097" s="2" t="s">
        <v>1014</v>
      </c>
      <c r="C6097" s="5" t="s">
        <v>1019</v>
      </c>
      <c r="D6097" s="2" t="s">
        <v>1020</v>
      </c>
    </row>
    <row r="6098" spans="1:4" ht="13.05" customHeight="1" x14ac:dyDescent="0.3">
      <c r="A6098" s="2" t="s">
        <v>967</v>
      </c>
      <c r="B6098" s="2" t="s">
        <v>1014</v>
      </c>
      <c r="C6098" s="5" t="s">
        <v>1021</v>
      </c>
      <c r="D6098" s="2" t="s">
        <v>1106</v>
      </c>
    </row>
    <row r="6099" spans="1:4" ht="13.05" customHeight="1" x14ac:dyDescent="0.3">
      <c r="A6099" s="2" t="s">
        <v>967</v>
      </c>
      <c r="B6099" s="2" t="s">
        <v>1014</v>
      </c>
      <c r="C6099" s="5" t="s">
        <v>1023</v>
      </c>
      <c r="D6099" s="2" t="s">
        <v>1107</v>
      </c>
    </row>
    <row r="6100" spans="1:4" ht="13.05" customHeight="1" x14ac:dyDescent="0.3">
      <c r="A6100" s="2" t="s">
        <v>971</v>
      </c>
      <c r="B6100" s="2" t="s">
        <v>1014</v>
      </c>
      <c r="C6100" s="5" t="s">
        <v>1044</v>
      </c>
      <c r="D6100" s="2" t="s">
        <v>1045</v>
      </c>
    </row>
    <row r="6101" spans="1:4" ht="13.05" customHeight="1" x14ac:dyDescent="0.3">
      <c r="A6101" s="2" t="s">
        <v>971</v>
      </c>
      <c r="B6101" s="2" t="s">
        <v>1014</v>
      </c>
      <c r="C6101" s="5" t="s">
        <v>1019</v>
      </c>
      <c r="D6101" s="2" t="s">
        <v>1020</v>
      </c>
    </row>
    <row r="6102" spans="1:4" ht="13.05" customHeight="1" x14ac:dyDescent="0.3">
      <c r="A6102" s="2" t="s">
        <v>975</v>
      </c>
      <c r="B6102" s="2" t="s">
        <v>1014</v>
      </c>
      <c r="C6102" s="5" t="s">
        <v>1015</v>
      </c>
      <c r="D6102" s="2" t="s">
        <v>1092</v>
      </c>
    </row>
    <row r="6103" spans="1:4" ht="13.05" customHeight="1" x14ac:dyDescent="0.3">
      <c r="A6103" s="2" t="s">
        <v>975</v>
      </c>
      <c r="B6103" s="2" t="s">
        <v>1014</v>
      </c>
      <c r="C6103" s="5" t="s">
        <v>1017</v>
      </c>
      <c r="D6103" s="2" t="s">
        <v>1086</v>
      </c>
    </row>
    <row r="6104" spans="1:4" ht="13.05" customHeight="1" x14ac:dyDescent="0.3">
      <c r="A6104" s="2" t="s">
        <v>975</v>
      </c>
      <c r="B6104" s="2" t="s">
        <v>1014</v>
      </c>
      <c r="C6104" s="5" t="s">
        <v>1019</v>
      </c>
      <c r="D6104" s="2" t="s">
        <v>1020</v>
      </c>
    </row>
    <row r="6105" spans="1:4" ht="13.05" customHeight="1" x14ac:dyDescent="0.3">
      <c r="A6105" s="2" t="s">
        <v>975</v>
      </c>
      <c r="B6105" s="2" t="s">
        <v>1014</v>
      </c>
      <c r="C6105" s="5" t="s">
        <v>1021</v>
      </c>
      <c r="D6105" s="2" t="s">
        <v>1106</v>
      </c>
    </row>
    <row r="6106" spans="1:4" ht="13.05" customHeight="1" x14ac:dyDescent="0.3">
      <c r="A6106" s="2" t="s">
        <v>975</v>
      </c>
      <c r="B6106" s="2" t="s">
        <v>1014</v>
      </c>
      <c r="C6106" s="5" t="s">
        <v>1023</v>
      </c>
      <c r="D6106" s="2" t="s">
        <v>1107</v>
      </c>
    </row>
    <row r="6107" spans="1:4" ht="13.05" customHeight="1" x14ac:dyDescent="0.3">
      <c r="A6107" s="2" t="s">
        <v>978</v>
      </c>
      <c r="B6107" s="2" t="s">
        <v>1014</v>
      </c>
      <c r="C6107" s="5" t="s">
        <v>1044</v>
      </c>
      <c r="D6107" s="2" t="s">
        <v>1045</v>
      </c>
    </row>
    <row r="6108" spans="1:4" ht="13.05" customHeight="1" x14ac:dyDescent="0.3">
      <c r="A6108" s="2" t="s">
        <v>978</v>
      </c>
      <c r="B6108" s="2" t="s">
        <v>1014</v>
      </c>
      <c r="C6108" s="5" t="s">
        <v>1019</v>
      </c>
      <c r="D6108" s="2" t="s">
        <v>1020</v>
      </c>
    </row>
    <row r="6109" spans="1:4" ht="13.05" customHeight="1" x14ac:dyDescent="0.3">
      <c r="A6109" s="2" t="s">
        <v>980</v>
      </c>
      <c r="B6109" s="2" t="s">
        <v>1014</v>
      </c>
      <c r="C6109" s="5" t="s">
        <v>1044</v>
      </c>
      <c r="D6109" s="2" t="s">
        <v>1045</v>
      </c>
    </row>
    <row r="6110" spans="1:4" ht="13.05" customHeight="1" x14ac:dyDescent="0.3">
      <c r="A6110" s="2" t="s">
        <v>980</v>
      </c>
      <c r="B6110" s="2" t="s">
        <v>1014</v>
      </c>
      <c r="C6110" s="5" t="s">
        <v>1019</v>
      </c>
      <c r="D6110" s="2" t="s">
        <v>1020</v>
      </c>
    </row>
    <row r="6111" spans="1:4" ht="13.05" customHeight="1" x14ac:dyDescent="0.3">
      <c r="A6111" s="2" t="s">
        <v>982</v>
      </c>
      <c r="B6111" s="2" t="s">
        <v>1014</v>
      </c>
      <c r="C6111" s="5" t="s">
        <v>1044</v>
      </c>
      <c r="D6111" s="2" t="s">
        <v>1045</v>
      </c>
    </row>
    <row r="6112" spans="1:4" ht="13.05" customHeight="1" x14ac:dyDescent="0.3">
      <c r="A6112" s="2" t="s">
        <v>982</v>
      </c>
      <c r="B6112" s="2" t="s">
        <v>1014</v>
      </c>
      <c r="C6112" s="5" t="s">
        <v>1015</v>
      </c>
      <c r="D6112" s="2" t="s">
        <v>1092</v>
      </c>
    </row>
    <row r="6113" spans="1:4" ht="13.05" customHeight="1" x14ac:dyDescent="0.3">
      <c r="A6113" s="2" t="s">
        <v>982</v>
      </c>
      <c r="B6113" s="2" t="s">
        <v>1014</v>
      </c>
      <c r="C6113" s="5" t="s">
        <v>1017</v>
      </c>
      <c r="D6113" s="2" t="s">
        <v>1086</v>
      </c>
    </row>
    <row r="6114" spans="1:4" ht="13.05" customHeight="1" x14ac:dyDescent="0.3">
      <c r="A6114" s="2" t="s">
        <v>982</v>
      </c>
      <c r="B6114" s="2" t="s">
        <v>1014</v>
      </c>
      <c r="C6114" s="5" t="s">
        <v>1019</v>
      </c>
      <c r="D6114" s="2" t="s">
        <v>1020</v>
      </c>
    </row>
    <row r="6115" spans="1:4" ht="13.05" customHeight="1" x14ac:dyDescent="0.3">
      <c r="A6115" s="2" t="s">
        <v>985</v>
      </c>
      <c r="B6115" s="2" t="s">
        <v>1014</v>
      </c>
      <c r="C6115" s="5" t="s">
        <v>1044</v>
      </c>
      <c r="D6115" s="2" t="s">
        <v>1045</v>
      </c>
    </row>
    <row r="6116" spans="1:4" ht="13.05" customHeight="1" x14ac:dyDescent="0.3">
      <c r="A6116" s="2" t="s">
        <v>985</v>
      </c>
      <c r="B6116" s="2" t="s">
        <v>1014</v>
      </c>
      <c r="C6116" s="5" t="s">
        <v>1015</v>
      </c>
      <c r="D6116" s="2" t="s">
        <v>1016</v>
      </c>
    </row>
    <row r="6117" spans="1:4" ht="13.05" customHeight="1" x14ac:dyDescent="0.3">
      <c r="A6117" s="2" t="s">
        <v>985</v>
      </c>
      <c r="B6117" s="2" t="s">
        <v>1014</v>
      </c>
      <c r="C6117" s="5" t="s">
        <v>1017</v>
      </c>
      <c r="D6117" s="2" t="s">
        <v>1018</v>
      </c>
    </row>
    <row r="6118" spans="1:4" ht="13.05" customHeight="1" x14ac:dyDescent="0.3">
      <c r="A6118" s="2" t="s">
        <v>985</v>
      </c>
      <c r="B6118" s="2" t="s">
        <v>1014</v>
      </c>
      <c r="C6118" s="5" t="s">
        <v>1019</v>
      </c>
      <c r="D6118" s="2" t="s">
        <v>1020</v>
      </c>
    </row>
    <row r="6119" spans="1:4" ht="13.05" customHeight="1" x14ac:dyDescent="0.3">
      <c r="A6119" s="2" t="s">
        <v>985</v>
      </c>
      <c r="B6119" s="2" t="s">
        <v>1014</v>
      </c>
      <c r="C6119" s="5" t="s">
        <v>1021</v>
      </c>
      <c r="D6119" s="2" t="s">
        <v>890</v>
      </c>
    </row>
    <row r="6120" spans="1:4" ht="13.05" customHeight="1" x14ac:dyDescent="0.3">
      <c r="A6120" s="2" t="s">
        <v>985</v>
      </c>
      <c r="B6120" s="2" t="s">
        <v>1014</v>
      </c>
      <c r="C6120" s="5" t="s">
        <v>1023</v>
      </c>
      <c r="D6120" s="2" t="s">
        <v>1049</v>
      </c>
    </row>
    <row r="6121" spans="1:4" ht="13.05" customHeight="1" x14ac:dyDescent="0.3">
      <c r="A6121" s="2" t="s">
        <v>985</v>
      </c>
      <c r="B6121" s="2" t="s">
        <v>1014</v>
      </c>
      <c r="C6121" s="5" t="s">
        <v>1025</v>
      </c>
      <c r="D6121" s="2" t="s">
        <v>6116</v>
      </c>
    </row>
    <row r="6122" spans="1:4" ht="13.05" customHeight="1" x14ac:dyDescent="0.3">
      <c r="A6122" s="2" t="s">
        <v>985</v>
      </c>
      <c r="B6122" s="2" t="s">
        <v>1014</v>
      </c>
      <c r="C6122" s="5" t="s">
        <v>1027</v>
      </c>
      <c r="D6122" s="2" t="s">
        <v>6117</v>
      </c>
    </row>
    <row r="6123" spans="1:4" ht="13.05" customHeight="1" x14ac:dyDescent="0.3">
      <c r="A6123" s="2" t="s">
        <v>985</v>
      </c>
      <c r="B6123" s="2" t="s">
        <v>1014</v>
      </c>
      <c r="C6123" s="5" t="s">
        <v>1029</v>
      </c>
      <c r="D6123" s="2" t="s">
        <v>6138</v>
      </c>
    </row>
    <row r="6124" spans="1:4" ht="13.05" customHeight="1" x14ac:dyDescent="0.3">
      <c r="A6124" s="2" t="s">
        <v>985</v>
      </c>
      <c r="B6124" s="2" t="s">
        <v>1014</v>
      </c>
      <c r="C6124" s="5" t="s">
        <v>1031</v>
      </c>
      <c r="D6124" s="2" t="s">
        <v>6118</v>
      </c>
    </row>
    <row r="6125" spans="1:4" ht="13.05" customHeight="1" x14ac:dyDescent="0.3">
      <c r="A6125" s="2" t="s">
        <v>985</v>
      </c>
      <c r="B6125" s="2" t="s">
        <v>1014</v>
      </c>
      <c r="C6125" s="5" t="s">
        <v>1040</v>
      </c>
      <c r="D6125" s="2" t="s">
        <v>6119</v>
      </c>
    </row>
    <row r="6126" spans="1:4" ht="13.05" customHeight="1" x14ac:dyDescent="0.3">
      <c r="A6126" s="2" t="s">
        <v>985</v>
      </c>
      <c r="B6126" s="2" t="s">
        <v>1014</v>
      </c>
      <c r="C6126" s="5" t="s">
        <v>1042</v>
      </c>
      <c r="D6126" s="2" t="s">
        <v>6120</v>
      </c>
    </row>
    <row r="6127" spans="1:4" ht="13.05" customHeight="1" x14ac:dyDescent="0.3">
      <c r="A6127" s="2" t="s">
        <v>985</v>
      </c>
      <c r="B6127" s="2" t="s">
        <v>1014</v>
      </c>
      <c r="C6127" s="5" t="s">
        <v>1061</v>
      </c>
      <c r="D6127" s="2" t="s">
        <v>6142</v>
      </c>
    </row>
    <row r="6128" spans="1:4" ht="13.05" customHeight="1" x14ac:dyDescent="0.3">
      <c r="A6128" s="2" t="s">
        <v>985</v>
      </c>
      <c r="B6128" s="2" t="s">
        <v>1014</v>
      </c>
      <c r="C6128" s="5" t="s">
        <v>1063</v>
      </c>
      <c r="D6128" s="2" t="s">
        <v>6122</v>
      </c>
    </row>
    <row r="6129" spans="1:4" ht="13.05" customHeight="1" x14ac:dyDescent="0.3">
      <c r="A6129" s="2" t="s">
        <v>985</v>
      </c>
      <c r="B6129" s="2" t="s">
        <v>1014</v>
      </c>
      <c r="C6129" s="5" t="s">
        <v>1065</v>
      </c>
      <c r="D6129" s="2" t="s">
        <v>6144</v>
      </c>
    </row>
    <row r="6130" spans="1:4" ht="13.05" customHeight="1" x14ac:dyDescent="0.3">
      <c r="A6130" s="2" t="s">
        <v>985</v>
      </c>
      <c r="B6130" s="2" t="s">
        <v>1014</v>
      </c>
      <c r="C6130" s="5" t="s">
        <v>1067</v>
      </c>
      <c r="D6130" s="2" t="s">
        <v>6124</v>
      </c>
    </row>
    <row r="6131" spans="1:4" ht="13.05" customHeight="1" x14ac:dyDescent="0.3">
      <c r="A6131" s="2" t="s">
        <v>985</v>
      </c>
      <c r="B6131" s="2" t="s">
        <v>1014</v>
      </c>
      <c r="C6131" s="5" t="s">
        <v>1069</v>
      </c>
      <c r="D6131" s="2" t="s">
        <v>6145</v>
      </c>
    </row>
    <row r="6132" spans="1:4" ht="13.05" customHeight="1" x14ac:dyDescent="0.3">
      <c r="A6132" s="2" t="s">
        <v>985</v>
      </c>
      <c r="B6132" s="2" t="s">
        <v>1014</v>
      </c>
      <c r="C6132" s="5" t="s">
        <v>1071</v>
      </c>
      <c r="D6132" s="2" t="s">
        <v>6251</v>
      </c>
    </row>
    <row r="6133" spans="1:4" ht="13.05" customHeight="1" x14ac:dyDescent="0.3">
      <c r="A6133" s="2" t="s">
        <v>985</v>
      </c>
      <c r="B6133" s="2" t="s">
        <v>1014</v>
      </c>
      <c r="C6133" s="5" t="s">
        <v>1073</v>
      </c>
      <c r="D6133" s="2" t="s">
        <v>6127</v>
      </c>
    </row>
    <row r="6134" spans="1:4" ht="13.05" customHeight="1" x14ac:dyDescent="0.3">
      <c r="A6134" s="2" t="s">
        <v>985</v>
      </c>
      <c r="B6134" s="2" t="s">
        <v>1014</v>
      </c>
      <c r="C6134" s="5" t="s">
        <v>1075</v>
      </c>
      <c r="D6134" s="2" t="s">
        <v>6146</v>
      </c>
    </row>
    <row r="6135" spans="1:4" ht="13.05" customHeight="1" x14ac:dyDescent="0.3">
      <c r="A6135" s="2" t="s">
        <v>985</v>
      </c>
      <c r="B6135" s="2" t="s">
        <v>1014</v>
      </c>
      <c r="C6135" s="5" t="s">
        <v>1077</v>
      </c>
      <c r="D6135" s="2" t="s">
        <v>6129</v>
      </c>
    </row>
    <row r="6136" spans="1:4" ht="13.05" customHeight="1" x14ac:dyDescent="0.3">
      <c r="A6136" s="2" t="s">
        <v>985</v>
      </c>
      <c r="B6136" s="2" t="s">
        <v>1014</v>
      </c>
      <c r="C6136" s="5" t="s">
        <v>1079</v>
      </c>
      <c r="D6136" s="2" t="s">
        <v>1048</v>
      </c>
    </row>
    <row r="6137" spans="1:4" ht="13.05" customHeight="1" x14ac:dyDescent="0.3">
      <c r="A6137" s="2" t="s">
        <v>985</v>
      </c>
      <c r="B6137" s="2" t="s">
        <v>1014</v>
      </c>
      <c r="C6137" s="5" t="s">
        <v>1081</v>
      </c>
      <c r="D6137" s="2" t="s">
        <v>6131</v>
      </c>
    </row>
    <row r="6138" spans="1:4" ht="13.05" customHeight="1" x14ac:dyDescent="0.3">
      <c r="A6138" s="2" t="s">
        <v>985</v>
      </c>
      <c r="B6138" s="2" t="s">
        <v>1014</v>
      </c>
      <c r="C6138" s="5" t="s">
        <v>1222</v>
      </c>
      <c r="D6138" s="2" t="s">
        <v>6132</v>
      </c>
    </row>
    <row r="6139" spans="1:4" ht="13.05" customHeight="1" x14ac:dyDescent="0.3">
      <c r="A6139" s="2" t="s">
        <v>985</v>
      </c>
      <c r="B6139" s="2" t="s">
        <v>1014</v>
      </c>
      <c r="C6139" s="5" t="s">
        <v>1052</v>
      </c>
      <c r="D6139" s="2" t="s">
        <v>1053</v>
      </c>
    </row>
    <row r="6140" spans="1:4" ht="13.05" customHeight="1" x14ac:dyDescent="0.3">
      <c r="A6140" s="2" t="s">
        <v>988</v>
      </c>
      <c r="B6140" s="2" t="s">
        <v>1014</v>
      </c>
      <c r="C6140" s="5" t="s">
        <v>1019</v>
      </c>
      <c r="D6140" s="2" t="s">
        <v>1020</v>
      </c>
    </row>
    <row r="6141" spans="1:4" ht="13.05" customHeight="1" x14ac:dyDescent="0.3">
      <c r="A6141" s="2" t="s">
        <v>991</v>
      </c>
      <c r="B6141" s="2" t="s">
        <v>1014</v>
      </c>
      <c r="C6141" s="5" t="s">
        <v>1044</v>
      </c>
      <c r="D6141" s="2" t="s">
        <v>1045</v>
      </c>
    </row>
    <row r="6142" spans="1:4" ht="13.05" customHeight="1" x14ac:dyDescent="0.3">
      <c r="A6142" s="2" t="s">
        <v>991</v>
      </c>
      <c r="B6142" s="2" t="s">
        <v>1014</v>
      </c>
      <c r="C6142" s="5" t="s">
        <v>1015</v>
      </c>
      <c r="D6142" s="2" t="s">
        <v>1016</v>
      </c>
    </row>
    <row r="6143" spans="1:4" ht="13.05" customHeight="1" x14ac:dyDescent="0.3">
      <c r="A6143" s="2" t="s">
        <v>991</v>
      </c>
      <c r="B6143" s="2" t="s">
        <v>1014</v>
      </c>
      <c r="C6143" s="5" t="s">
        <v>1017</v>
      </c>
      <c r="D6143" s="2" t="s">
        <v>1018</v>
      </c>
    </row>
    <row r="6144" spans="1:4" ht="13.05" customHeight="1" x14ac:dyDescent="0.3">
      <c r="A6144" s="2" t="s">
        <v>991</v>
      </c>
      <c r="B6144" s="2" t="s">
        <v>1014</v>
      </c>
      <c r="C6144" s="5" t="s">
        <v>1019</v>
      </c>
      <c r="D6144" s="2" t="s">
        <v>1020</v>
      </c>
    </row>
    <row r="6145" spans="1:4" ht="13.05" customHeight="1" x14ac:dyDescent="0.3">
      <c r="A6145" s="2" t="s">
        <v>991</v>
      </c>
      <c r="B6145" s="2" t="s">
        <v>1014</v>
      </c>
      <c r="C6145" s="5" t="s">
        <v>1219</v>
      </c>
      <c r="D6145" s="2" t="s">
        <v>1104</v>
      </c>
    </row>
    <row r="6146" spans="1:4" ht="13.05" customHeight="1" x14ac:dyDescent="0.3">
      <c r="A6146" s="2" t="s">
        <v>991</v>
      </c>
      <c r="B6146" s="2" t="s">
        <v>1014</v>
      </c>
      <c r="C6146" s="5" t="s">
        <v>1021</v>
      </c>
      <c r="D6146" s="2" t="s">
        <v>3302</v>
      </c>
    </row>
    <row r="6147" spans="1:4" ht="13.05" customHeight="1" x14ac:dyDescent="0.3">
      <c r="A6147" s="2" t="s">
        <v>991</v>
      </c>
      <c r="B6147" s="2" t="s">
        <v>1014</v>
      </c>
      <c r="C6147" s="5" t="s">
        <v>1023</v>
      </c>
      <c r="D6147" s="2" t="s">
        <v>3303</v>
      </c>
    </row>
    <row r="6148" spans="1:4" ht="13.05" customHeight="1" x14ac:dyDescent="0.3">
      <c r="A6148" s="2" t="s">
        <v>991</v>
      </c>
      <c r="B6148" s="2" t="s">
        <v>1014</v>
      </c>
      <c r="C6148" s="5" t="s">
        <v>1025</v>
      </c>
      <c r="D6148" s="2" t="s">
        <v>3304</v>
      </c>
    </row>
    <row r="6149" spans="1:4" ht="13.05" customHeight="1" x14ac:dyDescent="0.3">
      <c r="A6149" s="2" t="s">
        <v>991</v>
      </c>
      <c r="B6149" s="2" t="s">
        <v>1014</v>
      </c>
      <c r="C6149" s="5" t="s">
        <v>1027</v>
      </c>
      <c r="D6149" s="2" t="s">
        <v>3305</v>
      </c>
    </row>
    <row r="6150" spans="1:4" ht="13.05" customHeight="1" x14ac:dyDescent="0.3">
      <c r="A6150" s="2" t="s">
        <v>991</v>
      </c>
      <c r="B6150" s="2" t="s">
        <v>1014</v>
      </c>
      <c r="C6150" s="5" t="s">
        <v>1029</v>
      </c>
      <c r="D6150" s="2" t="s">
        <v>3306</v>
      </c>
    </row>
    <row r="6151" spans="1:4" ht="13.05" customHeight="1" x14ac:dyDescent="0.3">
      <c r="A6151" s="2" t="s">
        <v>991</v>
      </c>
      <c r="B6151" s="2" t="s">
        <v>1014</v>
      </c>
      <c r="C6151" s="5" t="s">
        <v>1031</v>
      </c>
      <c r="D6151" s="2" t="s">
        <v>3307</v>
      </c>
    </row>
    <row r="6152" spans="1:4" ht="13.05" customHeight="1" x14ac:dyDescent="0.3">
      <c r="A6152" s="2" t="s">
        <v>991</v>
      </c>
      <c r="B6152" s="2" t="s">
        <v>1014</v>
      </c>
      <c r="C6152" s="5" t="s">
        <v>1040</v>
      </c>
      <c r="D6152" s="2" t="s">
        <v>3308</v>
      </c>
    </row>
    <row r="6153" spans="1:4" ht="13.05" customHeight="1" x14ac:dyDescent="0.3">
      <c r="A6153" s="2" t="s">
        <v>991</v>
      </c>
      <c r="B6153" s="2" t="s">
        <v>1014</v>
      </c>
      <c r="C6153" s="5" t="s">
        <v>1042</v>
      </c>
      <c r="D6153" s="2" t="s">
        <v>3309</v>
      </c>
    </row>
    <row r="6154" spans="1:4" ht="13.05" customHeight="1" x14ac:dyDescent="0.3">
      <c r="A6154" s="2" t="s">
        <v>991</v>
      </c>
      <c r="B6154" s="2" t="s">
        <v>1014</v>
      </c>
      <c r="C6154" s="5" t="s">
        <v>1052</v>
      </c>
      <c r="D6154" s="2" t="s">
        <v>1083</v>
      </c>
    </row>
    <row r="6155" spans="1:4" ht="13.05" customHeight="1" x14ac:dyDescent="0.3">
      <c r="A6155" s="2" t="s">
        <v>993</v>
      </c>
      <c r="B6155" s="2" t="s">
        <v>1014</v>
      </c>
      <c r="C6155" s="5" t="s">
        <v>1044</v>
      </c>
      <c r="D6155" s="2" t="s">
        <v>1045</v>
      </c>
    </row>
    <row r="6156" spans="1:4" ht="13.05" customHeight="1" x14ac:dyDescent="0.3">
      <c r="A6156" s="2" t="s">
        <v>993</v>
      </c>
      <c r="B6156" s="2" t="s">
        <v>1014</v>
      </c>
      <c r="C6156" s="5" t="s">
        <v>1015</v>
      </c>
      <c r="D6156" s="2" t="s">
        <v>1016</v>
      </c>
    </row>
    <row r="6157" spans="1:4" ht="13.05" customHeight="1" x14ac:dyDescent="0.3">
      <c r="A6157" s="2" t="s">
        <v>993</v>
      </c>
      <c r="B6157" s="2" t="s">
        <v>1014</v>
      </c>
      <c r="C6157" s="5" t="s">
        <v>1017</v>
      </c>
      <c r="D6157" s="2" t="s">
        <v>1018</v>
      </c>
    </row>
    <row r="6158" spans="1:4" ht="13.05" customHeight="1" x14ac:dyDescent="0.3">
      <c r="A6158" s="2" t="s">
        <v>993</v>
      </c>
      <c r="B6158" s="2" t="s">
        <v>1014</v>
      </c>
      <c r="C6158" s="5" t="s">
        <v>1019</v>
      </c>
      <c r="D6158" s="2" t="s">
        <v>1020</v>
      </c>
    </row>
    <row r="6159" spans="1:4" ht="13.05" customHeight="1" x14ac:dyDescent="0.3">
      <c r="A6159" s="2" t="s">
        <v>993</v>
      </c>
      <c r="B6159" s="2" t="s">
        <v>1014</v>
      </c>
      <c r="C6159" s="5" t="s">
        <v>1219</v>
      </c>
      <c r="D6159" s="2" t="s">
        <v>1104</v>
      </c>
    </row>
    <row r="6160" spans="1:4" ht="13.05" customHeight="1" x14ac:dyDescent="0.3">
      <c r="A6160" s="2" t="s">
        <v>993</v>
      </c>
      <c r="B6160" s="2" t="s">
        <v>1014</v>
      </c>
      <c r="C6160" s="5" t="s">
        <v>1021</v>
      </c>
      <c r="D6160" s="2" t="s">
        <v>3302</v>
      </c>
    </row>
    <row r="6161" spans="1:4" ht="13.05" customHeight="1" x14ac:dyDescent="0.3">
      <c r="A6161" s="2" t="s">
        <v>993</v>
      </c>
      <c r="B6161" s="2" t="s">
        <v>1014</v>
      </c>
      <c r="C6161" s="5" t="s">
        <v>1023</v>
      </c>
      <c r="D6161" s="2" t="s">
        <v>3303</v>
      </c>
    </row>
    <row r="6162" spans="1:4" ht="13.05" customHeight="1" x14ac:dyDescent="0.3">
      <c r="A6162" s="2" t="s">
        <v>993</v>
      </c>
      <c r="B6162" s="2" t="s">
        <v>1014</v>
      </c>
      <c r="C6162" s="5" t="s">
        <v>1025</v>
      </c>
      <c r="D6162" s="2" t="s">
        <v>3304</v>
      </c>
    </row>
    <row r="6163" spans="1:4" ht="13.05" customHeight="1" x14ac:dyDescent="0.3">
      <c r="A6163" s="2" t="s">
        <v>993</v>
      </c>
      <c r="B6163" s="2" t="s">
        <v>1014</v>
      </c>
      <c r="C6163" s="5" t="s">
        <v>1027</v>
      </c>
      <c r="D6163" s="2" t="s">
        <v>3305</v>
      </c>
    </row>
    <row r="6164" spans="1:4" ht="13.05" customHeight="1" x14ac:dyDescent="0.3">
      <c r="A6164" s="2" t="s">
        <v>993</v>
      </c>
      <c r="B6164" s="2" t="s">
        <v>1014</v>
      </c>
      <c r="C6164" s="5" t="s">
        <v>1029</v>
      </c>
      <c r="D6164" s="2" t="s">
        <v>3306</v>
      </c>
    </row>
    <row r="6165" spans="1:4" ht="13.05" customHeight="1" x14ac:dyDescent="0.3">
      <c r="A6165" s="2" t="s">
        <v>993</v>
      </c>
      <c r="B6165" s="2" t="s">
        <v>1014</v>
      </c>
      <c r="C6165" s="5" t="s">
        <v>1031</v>
      </c>
      <c r="D6165" s="2" t="s">
        <v>3307</v>
      </c>
    </row>
    <row r="6166" spans="1:4" ht="13.05" customHeight="1" x14ac:dyDescent="0.3">
      <c r="A6166" s="2" t="s">
        <v>993</v>
      </c>
      <c r="B6166" s="2" t="s">
        <v>1014</v>
      </c>
      <c r="C6166" s="5" t="s">
        <v>1040</v>
      </c>
      <c r="D6166" s="2" t="s">
        <v>3308</v>
      </c>
    </row>
    <row r="6167" spans="1:4" ht="13.05" customHeight="1" x14ac:dyDescent="0.3">
      <c r="A6167" s="2" t="s">
        <v>993</v>
      </c>
      <c r="B6167" s="2" t="s">
        <v>1014</v>
      </c>
      <c r="C6167" s="5" t="s">
        <v>1042</v>
      </c>
      <c r="D6167" s="2" t="s">
        <v>3309</v>
      </c>
    </row>
    <row r="6168" spans="1:4" ht="13.05" customHeight="1" x14ac:dyDescent="0.3">
      <c r="A6168" s="2" t="s">
        <v>993</v>
      </c>
      <c r="B6168" s="2" t="s">
        <v>1014</v>
      </c>
      <c r="C6168" s="5" t="s">
        <v>1052</v>
      </c>
      <c r="D6168" s="2" t="s">
        <v>1083</v>
      </c>
    </row>
    <row r="6169" spans="1:4" ht="13.05" customHeight="1" x14ac:dyDescent="0.3">
      <c r="A6169" s="2" t="s">
        <v>995</v>
      </c>
      <c r="B6169" s="2" t="s">
        <v>1014</v>
      </c>
      <c r="C6169" s="5" t="s">
        <v>1044</v>
      </c>
      <c r="D6169" s="2" t="s">
        <v>1045</v>
      </c>
    </row>
    <row r="6170" spans="1:4" ht="13.05" customHeight="1" x14ac:dyDescent="0.3">
      <c r="A6170" s="2" t="s">
        <v>995</v>
      </c>
      <c r="B6170" s="2" t="s">
        <v>1014</v>
      </c>
      <c r="C6170" s="5" t="s">
        <v>1015</v>
      </c>
      <c r="D6170" s="2" t="s">
        <v>1016</v>
      </c>
    </row>
    <row r="6171" spans="1:4" ht="13.05" customHeight="1" x14ac:dyDescent="0.3">
      <c r="A6171" s="2" t="s">
        <v>995</v>
      </c>
      <c r="B6171" s="2" t="s">
        <v>1014</v>
      </c>
      <c r="C6171" s="5" t="s">
        <v>1017</v>
      </c>
      <c r="D6171" s="2" t="s">
        <v>1018</v>
      </c>
    </row>
    <row r="6172" spans="1:4" ht="13.05" customHeight="1" x14ac:dyDescent="0.3">
      <c r="A6172" s="2" t="s">
        <v>995</v>
      </c>
      <c r="B6172" s="2" t="s">
        <v>1014</v>
      </c>
      <c r="C6172" s="5" t="s">
        <v>1019</v>
      </c>
      <c r="D6172" s="2" t="s">
        <v>1020</v>
      </c>
    </row>
    <row r="6173" spans="1:4" ht="13.05" customHeight="1" x14ac:dyDescent="0.3">
      <c r="A6173" s="2" t="s">
        <v>995</v>
      </c>
      <c r="B6173" s="2" t="s">
        <v>1014</v>
      </c>
      <c r="C6173" s="5" t="s">
        <v>1219</v>
      </c>
      <c r="D6173" s="2" t="s">
        <v>1104</v>
      </c>
    </row>
    <row r="6174" spans="1:4" ht="13.05" customHeight="1" x14ac:dyDescent="0.3">
      <c r="A6174" s="2" t="s">
        <v>995</v>
      </c>
      <c r="B6174" s="2" t="s">
        <v>1014</v>
      </c>
      <c r="C6174" s="5" t="s">
        <v>1021</v>
      </c>
      <c r="D6174" s="2" t="s">
        <v>3302</v>
      </c>
    </row>
    <row r="6175" spans="1:4" ht="13.05" customHeight="1" x14ac:dyDescent="0.3">
      <c r="A6175" s="2" t="s">
        <v>995</v>
      </c>
      <c r="B6175" s="2" t="s">
        <v>1014</v>
      </c>
      <c r="C6175" s="5" t="s">
        <v>1023</v>
      </c>
      <c r="D6175" s="2" t="s">
        <v>3303</v>
      </c>
    </row>
    <row r="6176" spans="1:4" ht="13.05" customHeight="1" x14ac:dyDescent="0.3">
      <c r="A6176" s="2" t="s">
        <v>995</v>
      </c>
      <c r="B6176" s="2" t="s">
        <v>1014</v>
      </c>
      <c r="C6176" s="5" t="s">
        <v>1025</v>
      </c>
      <c r="D6176" s="2" t="s">
        <v>3304</v>
      </c>
    </row>
    <row r="6177" spans="1:4" ht="13.05" customHeight="1" x14ac:dyDescent="0.3">
      <c r="A6177" s="2" t="s">
        <v>995</v>
      </c>
      <c r="B6177" s="2" t="s">
        <v>1014</v>
      </c>
      <c r="C6177" s="5" t="s">
        <v>1027</v>
      </c>
      <c r="D6177" s="2" t="s">
        <v>3305</v>
      </c>
    </row>
    <row r="6178" spans="1:4" ht="13.05" customHeight="1" x14ac:dyDescent="0.3">
      <c r="A6178" s="2" t="s">
        <v>995</v>
      </c>
      <c r="B6178" s="2" t="s">
        <v>1014</v>
      </c>
      <c r="C6178" s="5" t="s">
        <v>1029</v>
      </c>
      <c r="D6178" s="2" t="s">
        <v>3306</v>
      </c>
    </row>
    <row r="6179" spans="1:4" ht="13.05" customHeight="1" x14ac:dyDescent="0.3">
      <c r="A6179" s="2" t="s">
        <v>995</v>
      </c>
      <c r="B6179" s="2" t="s">
        <v>1014</v>
      </c>
      <c r="C6179" s="5" t="s">
        <v>1031</v>
      </c>
      <c r="D6179" s="2" t="s">
        <v>3307</v>
      </c>
    </row>
    <row r="6180" spans="1:4" ht="13.05" customHeight="1" x14ac:dyDescent="0.3">
      <c r="A6180" s="2" t="s">
        <v>995</v>
      </c>
      <c r="B6180" s="2" t="s">
        <v>1014</v>
      </c>
      <c r="C6180" s="5" t="s">
        <v>1040</v>
      </c>
      <c r="D6180" s="2" t="s">
        <v>3308</v>
      </c>
    </row>
    <row r="6181" spans="1:4" ht="13.05" customHeight="1" x14ac:dyDescent="0.3">
      <c r="A6181" s="2" t="s">
        <v>995</v>
      </c>
      <c r="B6181" s="2" t="s">
        <v>1014</v>
      </c>
      <c r="C6181" s="5" t="s">
        <v>1042</v>
      </c>
      <c r="D6181" s="2" t="s">
        <v>3309</v>
      </c>
    </row>
    <row r="6182" spans="1:4" ht="13.05" customHeight="1" x14ac:dyDescent="0.3">
      <c r="A6182" s="2" t="s">
        <v>995</v>
      </c>
      <c r="B6182" s="2" t="s">
        <v>1014</v>
      </c>
      <c r="C6182" s="5" t="s">
        <v>1052</v>
      </c>
      <c r="D6182" s="2" t="s">
        <v>1083</v>
      </c>
    </row>
    <row r="6183" spans="1:4" ht="13.05" customHeight="1" x14ac:dyDescent="0.3">
      <c r="A6183" s="2" t="s">
        <v>997</v>
      </c>
      <c r="B6183" s="2" t="s">
        <v>1014</v>
      </c>
      <c r="C6183" s="5" t="s">
        <v>1044</v>
      </c>
      <c r="D6183" s="2" t="s">
        <v>1045</v>
      </c>
    </row>
    <row r="6184" spans="1:4" ht="13.05" customHeight="1" x14ac:dyDescent="0.3">
      <c r="A6184" s="2" t="s">
        <v>997</v>
      </c>
      <c r="B6184" s="2" t="s">
        <v>1014</v>
      </c>
      <c r="C6184" s="5" t="s">
        <v>1015</v>
      </c>
      <c r="D6184" s="2" t="s">
        <v>1016</v>
      </c>
    </row>
    <row r="6185" spans="1:4" ht="13.05" customHeight="1" x14ac:dyDescent="0.3">
      <c r="A6185" s="2" t="s">
        <v>997</v>
      </c>
      <c r="B6185" s="2" t="s">
        <v>1014</v>
      </c>
      <c r="C6185" s="5" t="s">
        <v>1017</v>
      </c>
      <c r="D6185" s="2" t="s">
        <v>1018</v>
      </c>
    </row>
    <row r="6186" spans="1:4" ht="13.05" customHeight="1" x14ac:dyDescent="0.3">
      <c r="A6186" s="2" t="s">
        <v>997</v>
      </c>
      <c r="B6186" s="2" t="s">
        <v>1014</v>
      </c>
      <c r="C6186" s="5" t="s">
        <v>1019</v>
      </c>
      <c r="D6186" s="2" t="s">
        <v>1020</v>
      </c>
    </row>
    <row r="6187" spans="1:4" ht="13.05" customHeight="1" x14ac:dyDescent="0.3">
      <c r="A6187" s="2" t="s">
        <v>997</v>
      </c>
      <c r="B6187" s="2" t="s">
        <v>1014</v>
      </c>
      <c r="C6187" s="5" t="s">
        <v>1021</v>
      </c>
      <c r="D6187" s="2" t="s">
        <v>1208</v>
      </c>
    </row>
    <row r="6188" spans="1:4" ht="13.05" customHeight="1" x14ac:dyDescent="0.3">
      <c r="A6188" s="2" t="s">
        <v>997</v>
      </c>
      <c r="B6188" s="2" t="s">
        <v>1014</v>
      </c>
      <c r="C6188" s="5" t="s">
        <v>1023</v>
      </c>
      <c r="D6188" s="2" t="s">
        <v>1209</v>
      </c>
    </row>
    <row r="6189" spans="1:4" ht="13.05" customHeight="1" x14ac:dyDescent="0.3">
      <c r="A6189" s="2" t="s">
        <v>997</v>
      </c>
      <c r="B6189" s="2" t="s">
        <v>1014</v>
      </c>
      <c r="C6189" s="5" t="s">
        <v>1025</v>
      </c>
      <c r="D6189" s="2" t="s">
        <v>1210</v>
      </c>
    </row>
    <row r="6190" spans="1:4" ht="13.05" customHeight="1" x14ac:dyDescent="0.3">
      <c r="A6190" s="2" t="s">
        <v>997</v>
      </c>
      <c r="B6190" s="2" t="s">
        <v>1014</v>
      </c>
      <c r="C6190" s="5" t="s">
        <v>1027</v>
      </c>
      <c r="D6190" s="2" t="s">
        <v>1211</v>
      </c>
    </row>
    <row r="6191" spans="1:4" ht="13.05" customHeight="1" x14ac:dyDescent="0.3">
      <c r="A6191" s="2" t="s">
        <v>997</v>
      </c>
      <c r="B6191" s="2" t="s">
        <v>1014</v>
      </c>
      <c r="C6191" s="5" t="s">
        <v>1029</v>
      </c>
      <c r="D6191" s="2" t="s">
        <v>6197</v>
      </c>
    </row>
    <row r="6192" spans="1:4" ht="13.05" customHeight="1" x14ac:dyDescent="0.3">
      <c r="A6192" s="2" t="s">
        <v>999</v>
      </c>
      <c r="B6192" s="2" t="s">
        <v>1014</v>
      </c>
      <c r="C6192" s="5" t="s">
        <v>1213</v>
      </c>
      <c r="D6192" s="2" t="s">
        <v>1016</v>
      </c>
    </row>
    <row r="6193" spans="1:4" ht="13.05" customHeight="1" x14ac:dyDescent="0.3">
      <c r="A6193" s="2" t="s">
        <v>999</v>
      </c>
      <c r="B6193" s="2" t="s">
        <v>1014</v>
      </c>
      <c r="C6193" s="5" t="s">
        <v>1214</v>
      </c>
      <c r="D6193" s="2" t="s">
        <v>1086</v>
      </c>
    </row>
    <row r="6194" spans="1:4" ht="13.05" customHeight="1" x14ac:dyDescent="0.3">
      <c r="A6194" s="2" t="s">
        <v>999</v>
      </c>
      <c r="B6194" s="2" t="s">
        <v>1014</v>
      </c>
      <c r="C6194" s="5" t="s">
        <v>1044</v>
      </c>
      <c r="D6194" s="2" t="s">
        <v>1045</v>
      </c>
    </row>
    <row r="6195" spans="1:4" ht="13.05" customHeight="1" x14ac:dyDescent="0.3">
      <c r="A6195" s="2" t="s">
        <v>999</v>
      </c>
      <c r="B6195" s="2" t="s">
        <v>1014</v>
      </c>
      <c r="C6195" s="5" t="s">
        <v>1015</v>
      </c>
      <c r="D6195" s="2" t="s">
        <v>1092</v>
      </c>
    </row>
    <row r="6196" spans="1:4" ht="13.05" customHeight="1" x14ac:dyDescent="0.3">
      <c r="A6196" s="2" t="s">
        <v>999</v>
      </c>
      <c r="B6196" s="2" t="s">
        <v>1014</v>
      </c>
      <c r="C6196" s="5" t="s">
        <v>1017</v>
      </c>
      <c r="D6196" s="2" t="s">
        <v>1086</v>
      </c>
    </row>
    <row r="6197" spans="1:4" ht="13.05" customHeight="1" x14ac:dyDescent="0.3">
      <c r="A6197" s="2" t="s">
        <v>999</v>
      </c>
      <c r="B6197" s="2" t="s">
        <v>1014</v>
      </c>
      <c r="C6197" s="5" t="s">
        <v>1019</v>
      </c>
      <c r="D6197" s="2" t="s">
        <v>1020</v>
      </c>
    </row>
    <row r="6198" spans="1:4" ht="13.05" customHeight="1" x14ac:dyDescent="0.3">
      <c r="A6198" s="2" t="s">
        <v>1004</v>
      </c>
      <c r="B6198" s="2" t="s">
        <v>1014</v>
      </c>
      <c r="C6198" s="5" t="s">
        <v>1044</v>
      </c>
      <c r="D6198" s="2" t="s">
        <v>1045</v>
      </c>
    </row>
    <row r="6199" spans="1:4" ht="13.05" customHeight="1" x14ac:dyDescent="0.3">
      <c r="A6199" s="2" t="s">
        <v>1004</v>
      </c>
      <c r="B6199" s="2" t="s">
        <v>1014</v>
      </c>
      <c r="C6199" s="5" t="s">
        <v>1015</v>
      </c>
      <c r="D6199" s="2" t="s">
        <v>1016</v>
      </c>
    </row>
    <row r="6200" spans="1:4" ht="13.05" customHeight="1" x14ac:dyDescent="0.3">
      <c r="A6200" s="2" t="s">
        <v>1004</v>
      </c>
      <c r="B6200" s="2" t="s">
        <v>1014</v>
      </c>
      <c r="C6200" s="5" t="s">
        <v>1017</v>
      </c>
      <c r="D6200" s="2" t="s">
        <v>1018</v>
      </c>
    </row>
    <row r="6201" spans="1:4" ht="13.05" customHeight="1" x14ac:dyDescent="0.3">
      <c r="A6201" s="2" t="s">
        <v>1004</v>
      </c>
      <c r="B6201" s="2" t="s">
        <v>1014</v>
      </c>
      <c r="C6201" s="5" t="s">
        <v>1019</v>
      </c>
      <c r="D6201" s="2" t="s">
        <v>1020</v>
      </c>
    </row>
    <row r="6202" spans="1:4" ht="13.05" customHeight="1" x14ac:dyDescent="0.3">
      <c r="A6202" s="2" t="s">
        <v>1007</v>
      </c>
      <c r="B6202" s="2" t="s">
        <v>1014</v>
      </c>
      <c r="C6202" s="5" t="s">
        <v>1015</v>
      </c>
      <c r="D6202" s="2" t="s">
        <v>1016</v>
      </c>
    </row>
    <row r="6203" spans="1:4" ht="13.05" customHeight="1" x14ac:dyDescent="0.3">
      <c r="A6203" s="2" t="s">
        <v>1007</v>
      </c>
      <c r="B6203" s="2" t="s">
        <v>1014</v>
      </c>
      <c r="C6203" s="5" t="s">
        <v>1017</v>
      </c>
      <c r="D6203" s="2" t="s">
        <v>1018</v>
      </c>
    </row>
    <row r="6204" spans="1:4" ht="13.05" customHeight="1" x14ac:dyDescent="0.3">
      <c r="A6204" s="2" t="s">
        <v>1007</v>
      </c>
      <c r="B6204" s="2" t="s">
        <v>1014</v>
      </c>
      <c r="C6204" s="5" t="s">
        <v>1019</v>
      </c>
      <c r="D6204" s="2" t="s">
        <v>1020</v>
      </c>
    </row>
    <row r="6205" spans="1:4" ht="13.05" customHeight="1" x14ac:dyDescent="0.3">
      <c r="A6205" s="2" t="s">
        <v>1007</v>
      </c>
      <c r="B6205" s="2" t="s">
        <v>1014</v>
      </c>
      <c r="C6205" s="5" t="s">
        <v>1021</v>
      </c>
      <c r="D6205" s="2" t="s">
        <v>6252</v>
      </c>
    </row>
    <row r="6206" spans="1:4" ht="13.05" customHeight="1" x14ac:dyDescent="0.3">
      <c r="A6206" s="2" t="s">
        <v>1007</v>
      </c>
      <c r="B6206" s="2" t="s">
        <v>1014</v>
      </c>
      <c r="C6206" s="5" t="s">
        <v>1023</v>
      </c>
      <c r="D6206" s="2" t="s">
        <v>6253</v>
      </c>
    </row>
    <row r="6207" spans="1:4" ht="13.05" customHeight="1" x14ac:dyDescent="0.3">
      <c r="A6207" s="2" t="s">
        <v>1007</v>
      </c>
      <c r="B6207" s="2" t="s">
        <v>1014</v>
      </c>
      <c r="C6207" s="5" t="s">
        <v>1025</v>
      </c>
      <c r="D6207" s="2" t="s">
        <v>6254</v>
      </c>
    </row>
    <row r="6208" spans="1:4" ht="13.05" customHeight="1" x14ac:dyDescent="0.3">
      <c r="A6208" s="2" t="s">
        <v>1010</v>
      </c>
      <c r="B6208" s="2" t="s">
        <v>1105</v>
      </c>
      <c r="C6208" s="5" t="s">
        <v>1044</v>
      </c>
      <c r="D6208" s="2" t="s">
        <v>1045</v>
      </c>
    </row>
    <row r="6209" spans="1:4" ht="13.05" customHeight="1" x14ac:dyDescent="0.3">
      <c r="A6209" s="2" t="s">
        <v>1010</v>
      </c>
      <c r="B6209" s="2" t="s">
        <v>1105</v>
      </c>
      <c r="C6209" s="5" t="s">
        <v>1019</v>
      </c>
      <c r="D6209" s="2" t="s">
        <v>1020</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heetViews>
  <sheetFormatPr defaultRowHeight="14.4" x14ac:dyDescent="0.3"/>
  <cols>
    <col min="1" max="1" width="13.6640625" customWidth="1"/>
    <col min="2" max="2" width="60.6640625" customWidth="1"/>
    <col min="3" max="3" width="25.6640625" customWidth="1"/>
    <col min="4" max="4" width="40.6640625" customWidth="1"/>
  </cols>
  <sheetData>
    <row r="1" spans="1:4" ht="30" customHeight="1" x14ac:dyDescent="0.3">
      <c r="A1" s="1" t="s">
        <v>0</v>
      </c>
      <c r="B1" s="1" t="s">
        <v>6255</v>
      </c>
      <c r="C1" s="1" t="s">
        <v>6256</v>
      </c>
      <c r="D1" s="1" t="s">
        <v>6257</v>
      </c>
    </row>
    <row r="2" spans="1:4" ht="76.05" customHeight="1" x14ac:dyDescent="0.3">
      <c r="A2" s="3" t="s">
        <v>1033</v>
      </c>
      <c r="B2" s="2" t="s">
        <v>6258</v>
      </c>
      <c r="C2" s="2" t="s">
        <v>320</v>
      </c>
      <c r="D2" s="2" t="s">
        <v>6259</v>
      </c>
    </row>
    <row r="3" spans="1:4" ht="76.05" customHeight="1" x14ac:dyDescent="0.3">
      <c r="A3" s="3" t="s">
        <v>1014</v>
      </c>
      <c r="B3" s="2" t="s">
        <v>6260</v>
      </c>
      <c r="C3" s="2" t="s">
        <v>6261</v>
      </c>
      <c r="D3" s="2" t="s">
        <v>6262</v>
      </c>
    </row>
    <row r="4" spans="1:4" ht="76.05" customHeight="1" x14ac:dyDescent="0.3">
      <c r="A4" s="3" t="s">
        <v>1054</v>
      </c>
      <c r="B4" s="2" t="s">
        <v>6263</v>
      </c>
      <c r="C4" s="2" t="s">
        <v>6264</v>
      </c>
      <c r="D4" s="2" t="s">
        <v>6265</v>
      </c>
    </row>
    <row r="5" spans="1:4" ht="76.05" customHeight="1" x14ac:dyDescent="0.3">
      <c r="A5" s="3" t="s">
        <v>1199</v>
      </c>
      <c r="B5" s="2" t="s">
        <v>6266</v>
      </c>
      <c r="C5" s="2" t="s">
        <v>6267</v>
      </c>
      <c r="D5" s="2" t="s">
        <v>6268</v>
      </c>
    </row>
    <row r="6" spans="1:4" ht="76.05" customHeight="1" x14ac:dyDescent="0.3">
      <c r="A6" s="3" t="s">
        <v>1105</v>
      </c>
      <c r="B6" s="2" t="s">
        <v>6269</v>
      </c>
      <c r="C6" s="2" t="s">
        <v>6270</v>
      </c>
      <c r="D6" s="2" t="s">
        <v>6271</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4"/>
  <sheetViews>
    <sheetView workbookViewId="0"/>
  </sheetViews>
  <sheetFormatPr defaultRowHeight="14.4" x14ac:dyDescent="0.3"/>
  <cols>
    <col min="1" max="1" width="25.6640625" customWidth="1"/>
    <col min="2" max="2" width="60.6640625" customWidth="1"/>
    <col min="3" max="4" width="25.6640625" customWidth="1"/>
  </cols>
  <sheetData>
    <row r="1" spans="1:4" x14ac:dyDescent="0.3">
      <c r="A1" s="3448" t="s">
        <v>6282</v>
      </c>
      <c r="B1" s="3448"/>
      <c r="C1" s="3448"/>
      <c r="D1" s="3448"/>
    </row>
    <row r="2" spans="1:4" ht="30" customHeight="1" x14ac:dyDescent="0.3">
      <c r="A2" s="1" t="s">
        <v>0</v>
      </c>
      <c r="B2" s="1" t="s">
        <v>6255</v>
      </c>
      <c r="C2" s="1" t="s">
        <v>6256</v>
      </c>
      <c r="D2" s="1" t="s">
        <v>6257</v>
      </c>
    </row>
    <row r="3" spans="1:4" ht="24" x14ac:dyDescent="0.3">
      <c r="A3" s="3" t="s">
        <v>6272</v>
      </c>
      <c r="B3" s="2" t="s">
        <v>6273</v>
      </c>
      <c r="C3" s="2" t="s">
        <v>320</v>
      </c>
      <c r="D3" s="2" t="s">
        <v>6274</v>
      </c>
    </row>
    <row r="4" spans="1:4" ht="24" x14ac:dyDescent="0.3">
      <c r="A4" s="3" t="s">
        <v>6275</v>
      </c>
      <c r="B4" s="2" t="s">
        <v>6276</v>
      </c>
      <c r="C4" s="2" t="s">
        <v>6261</v>
      </c>
      <c r="D4" s="2" t="s">
        <v>6277</v>
      </c>
    </row>
    <row r="5" spans="1:4" ht="24" x14ac:dyDescent="0.3">
      <c r="A5" s="3" t="s">
        <v>6278</v>
      </c>
      <c r="B5" s="2" t="s">
        <v>6279</v>
      </c>
      <c r="C5" s="2" t="s">
        <v>320</v>
      </c>
      <c r="D5" s="2" t="s">
        <v>6274</v>
      </c>
    </row>
    <row r="6" spans="1:4" ht="24" x14ac:dyDescent="0.3">
      <c r="A6" s="3" t="s">
        <v>6280</v>
      </c>
      <c r="B6" s="2" t="s">
        <v>6281</v>
      </c>
      <c r="C6" s="2" t="s">
        <v>6261</v>
      </c>
      <c r="D6" s="2" t="s">
        <v>6277</v>
      </c>
    </row>
    <row r="8" spans="1:4" x14ac:dyDescent="0.3">
      <c r="A8" s="3448" t="s">
        <v>6348</v>
      </c>
      <c r="B8" s="3448"/>
      <c r="C8" s="3448"/>
    </row>
    <row r="9" spans="1:4" ht="30" customHeight="1" x14ac:dyDescent="0.3">
      <c r="A9" s="1" t="s">
        <v>0</v>
      </c>
      <c r="B9" s="1" t="s">
        <v>6255</v>
      </c>
      <c r="C9" s="1" t="s">
        <v>6283</v>
      </c>
    </row>
    <row r="10" spans="1:4" x14ac:dyDescent="0.3">
      <c r="A10" s="3" t="s">
        <v>6284</v>
      </c>
      <c r="B10" s="2" t="s">
        <v>6285</v>
      </c>
      <c r="C10" s="2" t="s">
        <v>6278</v>
      </c>
    </row>
    <row r="11" spans="1:4" x14ac:dyDescent="0.3">
      <c r="A11" s="3" t="s">
        <v>6286</v>
      </c>
      <c r="B11" s="2" t="s">
        <v>6287</v>
      </c>
      <c r="C11" s="2" t="s">
        <v>6278</v>
      </c>
    </row>
    <row r="12" spans="1:4" x14ac:dyDescent="0.3">
      <c r="A12" s="3" t="s">
        <v>6288</v>
      </c>
      <c r="B12" s="2" t="s">
        <v>6289</v>
      </c>
      <c r="C12" s="2" t="s">
        <v>6278</v>
      </c>
    </row>
    <row r="13" spans="1:4" x14ac:dyDescent="0.3">
      <c r="A13" s="3" t="s">
        <v>320</v>
      </c>
      <c r="B13" s="2" t="s">
        <v>6290</v>
      </c>
      <c r="C13" s="2" t="s">
        <v>6278</v>
      </c>
    </row>
    <row r="14" spans="1:4" x14ac:dyDescent="0.3">
      <c r="A14" s="3" t="s">
        <v>6291</v>
      </c>
      <c r="B14" s="2" t="s">
        <v>6292</v>
      </c>
      <c r="C14" s="2" t="s">
        <v>6278</v>
      </c>
    </row>
    <row r="15" spans="1:4" x14ac:dyDescent="0.3">
      <c r="A15" s="3" t="s">
        <v>6293</v>
      </c>
      <c r="B15" s="2" t="s">
        <v>6294</v>
      </c>
      <c r="C15" s="2" t="s">
        <v>6278</v>
      </c>
    </row>
    <row r="16" spans="1:4" x14ac:dyDescent="0.3">
      <c r="A16" s="3" t="s">
        <v>6295</v>
      </c>
      <c r="B16" s="2" t="s">
        <v>6296</v>
      </c>
      <c r="C16" s="2" t="s">
        <v>6278</v>
      </c>
    </row>
    <row r="17" spans="1:3" x14ac:dyDescent="0.3">
      <c r="A17" s="3" t="s">
        <v>6297</v>
      </c>
      <c r="B17" s="2" t="s">
        <v>6298</v>
      </c>
      <c r="C17" s="2" t="s">
        <v>6278</v>
      </c>
    </row>
    <row r="18" spans="1:3" x14ac:dyDescent="0.3">
      <c r="A18" s="3" t="s">
        <v>6299</v>
      </c>
      <c r="B18" s="2" t="s">
        <v>6300</v>
      </c>
      <c r="C18" s="2" t="s">
        <v>6278</v>
      </c>
    </row>
    <row r="19" spans="1:3" x14ac:dyDescent="0.3">
      <c r="A19" s="3" t="s">
        <v>6301</v>
      </c>
      <c r="B19" s="2" t="s">
        <v>6302</v>
      </c>
      <c r="C19" s="2" t="s">
        <v>6278</v>
      </c>
    </row>
    <row r="20" spans="1:3" x14ac:dyDescent="0.3">
      <c r="A20" s="3" t="s">
        <v>6303</v>
      </c>
      <c r="B20" s="2" t="s">
        <v>6304</v>
      </c>
      <c r="C20" s="2" t="s">
        <v>6278</v>
      </c>
    </row>
    <row r="21" spans="1:3" x14ac:dyDescent="0.3">
      <c r="A21" s="3" t="s">
        <v>628</v>
      </c>
      <c r="B21" s="2" t="s">
        <v>629</v>
      </c>
      <c r="C21" s="2" t="s">
        <v>6278</v>
      </c>
    </row>
    <row r="22" spans="1:3" x14ac:dyDescent="0.3">
      <c r="A22" s="3" t="s">
        <v>6305</v>
      </c>
      <c r="B22" s="2" t="s">
        <v>6306</v>
      </c>
      <c r="C22" s="2" t="s">
        <v>6278</v>
      </c>
    </row>
    <row r="23" spans="1:3" x14ac:dyDescent="0.3">
      <c r="A23" s="3" t="s">
        <v>6307</v>
      </c>
      <c r="B23" s="2" t="s">
        <v>6308</v>
      </c>
      <c r="C23" s="2" t="s">
        <v>6278</v>
      </c>
    </row>
    <row r="24" spans="1:3" x14ac:dyDescent="0.3">
      <c r="A24" s="3" t="s">
        <v>6309</v>
      </c>
      <c r="B24" s="2" t="s">
        <v>6310</v>
      </c>
      <c r="C24" s="2" t="s">
        <v>6278</v>
      </c>
    </row>
    <row r="25" spans="1:3" x14ac:dyDescent="0.3">
      <c r="A25" s="3" t="s">
        <v>6311</v>
      </c>
      <c r="B25" s="2" t="s">
        <v>6312</v>
      </c>
      <c r="C25" s="2" t="s">
        <v>6278</v>
      </c>
    </row>
    <row r="26" spans="1:3" x14ac:dyDescent="0.3">
      <c r="A26" s="3" t="s">
        <v>6313</v>
      </c>
      <c r="B26" s="2" t="s">
        <v>6314</v>
      </c>
      <c r="C26" s="2" t="s">
        <v>6278</v>
      </c>
    </row>
    <row r="27" spans="1:3" x14ac:dyDescent="0.3">
      <c r="A27" s="3" t="s">
        <v>6284</v>
      </c>
      <c r="B27" s="2" t="s">
        <v>6285</v>
      </c>
      <c r="C27" s="2" t="s">
        <v>6272</v>
      </c>
    </row>
    <row r="28" spans="1:3" x14ac:dyDescent="0.3">
      <c r="A28" s="3" t="s">
        <v>6315</v>
      </c>
      <c r="B28" s="2" t="s">
        <v>6287</v>
      </c>
      <c r="C28" s="2" t="s">
        <v>6272</v>
      </c>
    </row>
    <row r="29" spans="1:3" x14ac:dyDescent="0.3">
      <c r="A29" s="3" t="s">
        <v>320</v>
      </c>
      <c r="B29" s="2" t="s">
        <v>6290</v>
      </c>
      <c r="C29" s="2" t="s">
        <v>6272</v>
      </c>
    </row>
    <row r="30" spans="1:3" x14ac:dyDescent="0.3">
      <c r="A30" s="3" t="s">
        <v>6291</v>
      </c>
      <c r="B30" s="2" t="s">
        <v>6292</v>
      </c>
      <c r="C30" s="2" t="s">
        <v>6272</v>
      </c>
    </row>
    <row r="31" spans="1:3" x14ac:dyDescent="0.3">
      <c r="A31" s="3" t="s">
        <v>6293</v>
      </c>
      <c r="B31" s="2" t="s">
        <v>6294</v>
      </c>
      <c r="C31" s="2" t="s">
        <v>6272</v>
      </c>
    </row>
    <row r="32" spans="1:3" x14ac:dyDescent="0.3">
      <c r="A32" s="3" t="s">
        <v>6316</v>
      </c>
      <c r="B32" s="2" t="s">
        <v>6296</v>
      </c>
      <c r="C32" s="2" t="s">
        <v>6272</v>
      </c>
    </row>
    <row r="33" spans="1:3" x14ac:dyDescent="0.3">
      <c r="A33" s="3" t="s">
        <v>6317</v>
      </c>
      <c r="B33" s="2" t="s">
        <v>6298</v>
      </c>
      <c r="C33" s="2" t="s">
        <v>6272</v>
      </c>
    </row>
    <row r="34" spans="1:3" x14ac:dyDescent="0.3">
      <c r="A34" s="3" t="s">
        <v>6318</v>
      </c>
      <c r="B34" s="2" t="s">
        <v>6300</v>
      </c>
      <c r="C34" s="2" t="s">
        <v>6272</v>
      </c>
    </row>
    <row r="35" spans="1:3" x14ac:dyDescent="0.3">
      <c r="A35" s="3" t="s">
        <v>6301</v>
      </c>
      <c r="B35" s="2" t="s">
        <v>6302</v>
      </c>
      <c r="C35" s="2" t="s">
        <v>6272</v>
      </c>
    </row>
    <row r="36" spans="1:3" x14ac:dyDescent="0.3">
      <c r="A36" s="3" t="s">
        <v>6303</v>
      </c>
      <c r="B36" s="2" t="s">
        <v>6304</v>
      </c>
      <c r="C36" s="2" t="s">
        <v>6272</v>
      </c>
    </row>
    <row r="37" spans="1:3" x14ac:dyDescent="0.3">
      <c r="A37" s="3" t="s">
        <v>628</v>
      </c>
      <c r="B37" s="2" t="s">
        <v>629</v>
      </c>
      <c r="C37" s="2" t="s">
        <v>6272</v>
      </c>
    </row>
    <row r="38" spans="1:3" x14ac:dyDescent="0.3">
      <c r="A38" s="3" t="s">
        <v>6305</v>
      </c>
      <c r="B38" s="2" t="s">
        <v>6306</v>
      </c>
      <c r="C38" s="2" t="s">
        <v>6272</v>
      </c>
    </row>
    <row r="39" spans="1:3" x14ac:dyDescent="0.3">
      <c r="A39" s="3" t="s">
        <v>6307</v>
      </c>
      <c r="B39" s="2" t="s">
        <v>6308</v>
      </c>
      <c r="C39" s="2" t="s">
        <v>6272</v>
      </c>
    </row>
    <row r="40" spans="1:3" x14ac:dyDescent="0.3">
      <c r="A40" s="3" t="s">
        <v>6309</v>
      </c>
      <c r="B40" s="2" t="s">
        <v>6310</v>
      </c>
      <c r="C40" s="2" t="s">
        <v>6272</v>
      </c>
    </row>
    <row r="41" spans="1:3" x14ac:dyDescent="0.3">
      <c r="A41" s="3" t="s">
        <v>6319</v>
      </c>
      <c r="B41" s="2" t="s">
        <v>6320</v>
      </c>
      <c r="C41" s="2" t="s">
        <v>6272</v>
      </c>
    </row>
    <row r="42" spans="1:3" x14ac:dyDescent="0.3">
      <c r="A42" s="3" t="s">
        <v>6321</v>
      </c>
      <c r="B42" s="2" t="s">
        <v>6322</v>
      </c>
      <c r="C42" s="2" t="s">
        <v>6272</v>
      </c>
    </row>
    <row r="43" spans="1:3" x14ac:dyDescent="0.3">
      <c r="A43" s="3" t="s">
        <v>6284</v>
      </c>
      <c r="B43" s="2" t="s">
        <v>6285</v>
      </c>
      <c r="C43" s="2" t="s">
        <v>6280</v>
      </c>
    </row>
    <row r="44" spans="1:3" x14ac:dyDescent="0.3">
      <c r="A44" s="3" t="s">
        <v>6288</v>
      </c>
      <c r="B44" s="2" t="s">
        <v>6289</v>
      </c>
      <c r="C44" s="2" t="s">
        <v>6280</v>
      </c>
    </row>
    <row r="45" spans="1:3" x14ac:dyDescent="0.3">
      <c r="A45" s="3" t="s">
        <v>320</v>
      </c>
      <c r="B45" s="2" t="s">
        <v>6290</v>
      </c>
      <c r="C45" s="2" t="s">
        <v>6280</v>
      </c>
    </row>
    <row r="46" spans="1:3" x14ac:dyDescent="0.3">
      <c r="A46" s="3" t="s">
        <v>6291</v>
      </c>
      <c r="B46" s="2" t="s">
        <v>6292</v>
      </c>
      <c r="C46" s="2" t="s">
        <v>6280</v>
      </c>
    </row>
    <row r="47" spans="1:3" x14ac:dyDescent="0.3">
      <c r="A47" s="3" t="s">
        <v>527</v>
      </c>
      <c r="B47" s="2" t="s">
        <v>6323</v>
      </c>
      <c r="C47" s="2" t="s">
        <v>6280</v>
      </c>
    </row>
    <row r="48" spans="1:3" x14ac:dyDescent="0.3">
      <c r="A48" s="3" t="s">
        <v>6324</v>
      </c>
      <c r="B48" s="2" t="s">
        <v>6296</v>
      </c>
      <c r="C48" s="2" t="s">
        <v>6280</v>
      </c>
    </row>
    <row r="49" spans="1:3" x14ac:dyDescent="0.3">
      <c r="A49" s="3" t="s">
        <v>6325</v>
      </c>
      <c r="B49" s="2" t="s">
        <v>6298</v>
      </c>
      <c r="C49" s="2" t="s">
        <v>6280</v>
      </c>
    </row>
    <row r="50" spans="1:3" x14ac:dyDescent="0.3">
      <c r="A50" s="3" t="s">
        <v>6326</v>
      </c>
      <c r="B50" s="2" t="s">
        <v>6300</v>
      </c>
      <c r="C50" s="2" t="s">
        <v>6280</v>
      </c>
    </row>
    <row r="51" spans="1:3" x14ac:dyDescent="0.3">
      <c r="A51" s="3" t="s">
        <v>6327</v>
      </c>
      <c r="B51" s="2" t="s">
        <v>6287</v>
      </c>
      <c r="C51" s="2" t="s">
        <v>6280</v>
      </c>
    </row>
    <row r="52" spans="1:3" x14ac:dyDescent="0.3">
      <c r="A52" s="3" t="s">
        <v>628</v>
      </c>
      <c r="B52" s="2" t="s">
        <v>629</v>
      </c>
      <c r="C52" s="2" t="s">
        <v>6280</v>
      </c>
    </row>
    <row r="53" spans="1:3" x14ac:dyDescent="0.3">
      <c r="A53" s="3" t="s">
        <v>6307</v>
      </c>
      <c r="B53" s="2" t="s">
        <v>6308</v>
      </c>
      <c r="C53" s="2" t="s">
        <v>6280</v>
      </c>
    </row>
    <row r="54" spans="1:3" x14ac:dyDescent="0.3">
      <c r="A54" s="3" t="s">
        <v>6309</v>
      </c>
      <c r="B54" s="2" t="s">
        <v>6310</v>
      </c>
      <c r="C54" s="2" t="s">
        <v>6280</v>
      </c>
    </row>
    <row r="55" spans="1:3" x14ac:dyDescent="0.3">
      <c r="A55" s="3" t="s">
        <v>6328</v>
      </c>
      <c r="B55" s="2" t="s">
        <v>6329</v>
      </c>
      <c r="C55" s="2" t="s">
        <v>6280</v>
      </c>
    </row>
    <row r="56" spans="1:3" x14ac:dyDescent="0.3">
      <c r="A56" s="3" t="s">
        <v>6330</v>
      </c>
      <c r="B56" s="2" t="s">
        <v>6331</v>
      </c>
      <c r="C56" s="2" t="s">
        <v>6280</v>
      </c>
    </row>
    <row r="57" spans="1:3" x14ac:dyDescent="0.3">
      <c r="A57" s="3" t="s">
        <v>6332</v>
      </c>
      <c r="B57" s="2" t="s">
        <v>6333</v>
      </c>
      <c r="C57" s="2" t="s">
        <v>6280</v>
      </c>
    </row>
    <row r="58" spans="1:3" x14ac:dyDescent="0.3">
      <c r="A58" s="3" t="s">
        <v>6334</v>
      </c>
      <c r="B58" s="2" t="s">
        <v>6335</v>
      </c>
      <c r="C58" s="2" t="s">
        <v>6280</v>
      </c>
    </row>
    <row r="59" spans="1:3" x14ac:dyDescent="0.3">
      <c r="A59" s="3" t="s">
        <v>6284</v>
      </c>
      <c r="B59" s="2" t="s">
        <v>6285</v>
      </c>
      <c r="C59" s="2" t="s">
        <v>6275</v>
      </c>
    </row>
    <row r="60" spans="1:3" x14ac:dyDescent="0.3">
      <c r="A60" s="3" t="s">
        <v>320</v>
      </c>
      <c r="B60" s="2" t="s">
        <v>6290</v>
      </c>
      <c r="C60" s="2" t="s">
        <v>6275</v>
      </c>
    </row>
    <row r="61" spans="1:3" x14ac:dyDescent="0.3">
      <c r="A61" s="3" t="s">
        <v>6291</v>
      </c>
      <c r="B61" s="2" t="s">
        <v>6292</v>
      </c>
      <c r="C61" s="2" t="s">
        <v>6275</v>
      </c>
    </row>
    <row r="62" spans="1:3" x14ac:dyDescent="0.3">
      <c r="A62" s="3" t="s">
        <v>527</v>
      </c>
      <c r="B62" s="2" t="s">
        <v>6323</v>
      </c>
      <c r="C62" s="2" t="s">
        <v>6275</v>
      </c>
    </row>
    <row r="63" spans="1:3" x14ac:dyDescent="0.3">
      <c r="A63" s="3" t="s">
        <v>6336</v>
      </c>
      <c r="B63" s="2" t="s">
        <v>6296</v>
      </c>
      <c r="C63" s="2" t="s">
        <v>6275</v>
      </c>
    </row>
    <row r="64" spans="1:3" x14ac:dyDescent="0.3">
      <c r="A64" s="3" t="s">
        <v>6337</v>
      </c>
      <c r="B64" s="2" t="s">
        <v>6298</v>
      </c>
      <c r="C64" s="2" t="s">
        <v>6275</v>
      </c>
    </row>
    <row r="65" spans="1:3" x14ac:dyDescent="0.3">
      <c r="A65" s="3" t="s">
        <v>6338</v>
      </c>
      <c r="B65" s="2" t="s">
        <v>6300</v>
      </c>
      <c r="C65" s="2" t="s">
        <v>6275</v>
      </c>
    </row>
    <row r="66" spans="1:3" x14ac:dyDescent="0.3">
      <c r="A66" s="3" t="s">
        <v>6339</v>
      </c>
      <c r="B66" s="2" t="s">
        <v>6287</v>
      </c>
      <c r="C66" s="2" t="s">
        <v>6275</v>
      </c>
    </row>
    <row r="67" spans="1:3" x14ac:dyDescent="0.3">
      <c r="A67" s="3" t="s">
        <v>628</v>
      </c>
      <c r="B67" s="2" t="s">
        <v>629</v>
      </c>
      <c r="C67" s="2" t="s">
        <v>6275</v>
      </c>
    </row>
    <row r="68" spans="1:3" x14ac:dyDescent="0.3">
      <c r="A68" s="3" t="s">
        <v>6307</v>
      </c>
      <c r="B68" s="2" t="s">
        <v>6308</v>
      </c>
      <c r="C68" s="2" t="s">
        <v>6275</v>
      </c>
    </row>
    <row r="69" spans="1:3" x14ac:dyDescent="0.3">
      <c r="A69" s="3" t="s">
        <v>6309</v>
      </c>
      <c r="B69" s="2" t="s">
        <v>6310</v>
      </c>
      <c r="C69" s="2" t="s">
        <v>6275</v>
      </c>
    </row>
    <row r="70" spans="1:3" x14ac:dyDescent="0.3">
      <c r="A70" s="3" t="s">
        <v>6340</v>
      </c>
      <c r="B70" s="2" t="s">
        <v>6341</v>
      </c>
      <c r="C70" s="2" t="s">
        <v>6275</v>
      </c>
    </row>
    <row r="71" spans="1:3" x14ac:dyDescent="0.3">
      <c r="A71" s="3" t="s">
        <v>6342</v>
      </c>
      <c r="B71" s="2" t="s">
        <v>6343</v>
      </c>
      <c r="C71" s="2" t="s">
        <v>6275</v>
      </c>
    </row>
    <row r="72" spans="1:3" x14ac:dyDescent="0.3">
      <c r="A72" s="3" t="s">
        <v>6344</v>
      </c>
      <c r="B72" s="2" t="s">
        <v>6345</v>
      </c>
      <c r="C72" s="2" t="s">
        <v>6275</v>
      </c>
    </row>
    <row r="73" spans="1:3" x14ac:dyDescent="0.3">
      <c r="A73" s="3" t="s">
        <v>6346</v>
      </c>
      <c r="B73" s="2" t="s">
        <v>6347</v>
      </c>
      <c r="C73" s="2" t="s">
        <v>6275</v>
      </c>
    </row>
    <row r="74" spans="1:3" x14ac:dyDescent="0.3">
      <c r="A74" s="3"/>
      <c r="B74" s="2"/>
      <c r="C74" s="2"/>
    </row>
  </sheetData>
  <mergeCells count="2">
    <mergeCell ref="A1:D1"/>
    <mergeCell ref="A8:C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31"/>
  <sheetViews>
    <sheetView workbookViewId="0">
      <pane ySplit="1" topLeftCell="A2" activePane="bottomLeft" state="frozen"/>
      <selection pane="bottomLeft"/>
    </sheetView>
  </sheetViews>
  <sheetFormatPr defaultRowHeight="14.4" x14ac:dyDescent="0.3"/>
  <cols>
    <col min="1" max="1" width="15.6640625" customWidth="1"/>
    <col min="2" max="2" width="50.6640625" customWidth="1"/>
    <col min="3" max="4" width="11.6640625" customWidth="1"/>
    <col min="5" max="5" width="10.6640625" customWidth="1"/>
    <col min="6" max="6" width="11.6640625" customWidth="1"/>
    <col min="7" max="7" width="10.6640625" customWidth="1"/>
  </cols>
  <sheetData>
    <row r="1" spans="1:7" x14ac:dyDescent="0.3">
      <c r="A1" s="1" t="s">
        <v>1013</v>
      </c>
      <c r="B1" s="1" t="s">
        <v>1</v>
      </c>
      <c r="C1" s="1" t="s">
        <v>6349</v>
      </c>
      <c r="D1" s="1" t="s">
        <v>6350</v>
      </c>
      <c r="E1" s="1" t="s">
        <v>6351</v>
      </c>
      <c r="F1" s="1" t="s">
        <v>6352</v>
      </c>
      <c r="G1" s="1" t="s">
        <v>6353</v>
      </c>
    </row>
    <row r="2" spans="1:7" x14ac:dyDescent="0.3">
      <c r="A2" s="3451" t="s">
        <v>1033</v>
      </c>
      <c r="B2" s="3450"/>
      <c r="C2" s="3450"/>
      <c r="D2" s="3450"/>
      <c r="E2" s="3450"/>
      <c r="F2" s="3450"/>
      <c r="G2" s="3450"/>
    </row>
    <row r="3" spans="1:7" x14ac:dyDescent="0.3">
      <c r="A3" s="3449" t="s">
        <v>320</v>
      </c>
      <c r="B3" s="3450"/>
      <c r="C3" s="3450"/>
      <c r="D3" s="3450"/>
      <c r="E3" s="3450"/>
      <c r="F3" s="3450"/>
      <c r="G3" s="3450"/>
    </row>
    <row r="4" spans="1:7" x14ac:dyDescent="0.3">
      <c r="A4" s="11" t="s">
        <v>6354</v>
      </c>
      <c r="B4" s="11" t="s">
        <v>6355</v>
      </c>
      <c r="C4" s="12">
        <v>869</v>
      </c>
      <c r="D4" s="12">
        <v>318533</v>
      </c>
      <c r="E4" s="13">
        <v>1.06696404864915E-9</v>
      </c>
      <c r="F4" s="14">
        <v>100</v>
      </c>
      <c r="G4" s="15">
        <v>1.45362315675074E-14</v>
      </c>
    </row>
    <row r="5" spans="1:7" x14ac:dyDescent="0.3">
      <c r="A5" s="6" t="s">
        <v>6354</v>
      </c>
      <c r="B5" s="6" t="s">
        <v>6356</v>
      </c>
      <c r="C5" s="7">
        <v>869</v>
      </c>
      <c r="D5" s="7">
        <v>318533</v>
      </c>
      <c r="E5" s="8">
        <v>0</v>
      </c>
      <c r="F5" s="9">
        <v>100</v>
      </c>
      <c r="G5" s="10">
        <v>0</v>
      </c>
    </row>
    <row r="6" spans="1:7" x14ac:dyDescent="0.3">
      <c r="A6" s="3449" t="s">
        <v>679</v>
      </c>
      <c r="B6" s="3450"/>
      <c r="C6" s="3450"/>
      <c r="D6" s="3450"/>
      <c r="E6" s="3450"/>
      <c r="F6" s="3450"/>
      <c r="G6" s="3450"/>
    </row>
    <row r="7" spans="1:7" x14ac:dyDescent="0.3">
      <c r="A7" s="11" t="s">
        <v>6354</v>
      </c>
      <c r="B7" s="11" t="s">
        <v>6355</v>
      </c>
      <c r="C7" s="20">
        <v>869</v>
      </c>
      <c r="D7" s="20">
        <v>318533</v>
      </c>
      <c r="E7" s="21">
        <v>1.06696404864915E-9</v>
      </c>
      <c r="F7" s="22">
        <v>100</v>
      </c>
      <c r="G7" s="23">
        <v>1.45362315675074E-14</v>
      </c>
    </row>
    <row r="8" spans="1:7" x14ac:dyDescent="0.3">
      <c r="A8" s="6" t="s">
        <v>6354</v>
      </c>
      <c r="B8" s="6" t="s">
        <v>6356</v>
      </c>
      <c r="C8" s="16">
        <v>869</v>
      </c>
      <c r="D8" s="16">
        <v>318533</v>
      </c>
      <c r="E8" s="17">
        <v>0</v>
      </c>
      <c r="F8" s="18">
        <v>100</v>
      </c>
      <c r="G8" s="19">
        <v>0</v>
      </c>
    </row>
    <row r="9" spans="1:7" x14ac:dyDescent="0.3">
      <c r="A9" s="3449" t="s">
        <v>150</v>
      </c>
      <c r="B9" s="3450"/>
      <c r="C9" s="3450"/>
      <c r="D9" s="3450"/>
      <c r="E9" s="3450"/>
      <c r="F9" s="3450"/>
      <c r="G9" s="3450"/>
    </row>
    <row r="10" spans="1:7" x14ac:dyDescent="0.3">
      <c r="A10" s="11" t="s">
        <v>6357</v>
      </c>
      <c r="B10" s="11"/>
      <c r="C10" s="28">
        <v>382</v>
      </c>
      <c r="D10" s="28">
        <v>109967.103690499</v>
      </c>
      <c r="E10" s="29">
        <v>6162.8160773565196</v>
      </c>
      <c r="F10" s="30">
        <v>34.5229862182251</v>
      </c>
      <c r="G10" s="31">
        <v>1.93474964206425</v>
      </c>
    </row>
    <row r="11" spans="1:7" x14ac:dyDescent="0.3">
      <c r="A11" s="6" t="s">
        <v>6358</v>
      </c>
      <c r="B11" s="6"/>
      <c r="C11" s="24">
        <v>147</v>
      </c>
      <c r="D11" s="24">
        <v>50567.505409709098</v>
      </c>
      <c r="E11" s="25">
        <v>4965.00331359134</v>
      </c>
      <c r="F11" s="26">
        <v>15.8751229573417</v>
      </c>
      <c r="G11" s="27">
        <v>1.5587092431840199</v>
      </c>
    </row>
    <row r="12" spans="1:7" x14ac:dyDescent="0.3">
      <c r="A12" s="11" t="s">
        <v>6359</v>
      </c>
      <c r="B12" s="11"/>
      <c r="C12" s="28">
        <v>141</v>
      </c>
      <c r="D12" s="28">
        <v>41128.271121897102</v>
      </c>
      <c r="E12" s="29">
        <v>4087.9080110825898</v>
      </c>
      <c r="F12" s="30">
        <v>12.911777153983101</v>
      </c>
      <c r="G12" s="31">
        <v>1.2833546323560201</v>
      </c>
    </row>
    <row r="13" spans="1:7" x14ac:dyDescent="0.3">
      <c r="A13" s="6" t="s">
        <v>6360</v>
      </c>
      <c r="B13" s="6"/>
      <c r="C13" s="24">
        <v>97</v>
      </c>
      <c r="D13" s="24">
        <v>23983.115061175198</v>
      </c>
      <c r="E13" s="25">
        <v>3738.2017796578498</v>
      </c>
      <c r="F13" s="26">
        <v>7.5292403176986902</v>
      </c>
      <c r="G13" s="27">
        <v>1.1735681325507401</v>
      </c>
    </row>
    <row r="14" spans="1:7" x14ac:dyDescent="0.3">
      <c r="A14" s="11" t="s">
        <v>6361</v>
      </c>
      <c r="B14" s="11"/>
      <c r="C14" s="28">
        <v>80</v>
      </c>
      <c r="D14" s="28">
        <v>23676.022500281299</v>
      </c>
      <c r="E14" s="29">
        <v>3947.7582515498598</v>
      </c>
      <c r="F14" s="30">
        <v>7.4328319201719504</v>
      </c>
      <c r="G14" s="31">
        <v>1.2393561268533799</v>
      </c>
    </row>
    <row r="15" spans="1:7" x14ac:dyDescent="0.3">
      <c r="A15" s="6" t="s">
        <v>6362</v>
      </c>
      <c r="B15" s="6"/>
      <c r="C15" s="24">
        <v>61</v>
      </c>
      <c r="D15" s="24">
        <v>21733.906295323799</v>
      </c>
      <c r="E15" s="25">
        <v>5039.1588007076298</v>
      </c>
      <c r="F15" s="26">
        <v>6.8231254831756196</v>
      </c>
      <c r="G15" s="27">
        <v>1.5819895586038599</v>
      </c>
    </row>
    <row r="16" spans="1:7" x14ac:dyDescent="0.3">
      <c r="A16" s="11" t="s">
        <v>6363</v>
      </c>
      <c r="B16" s="11"/>
      <c r="C16" s="28">
        <v>42</v>
      </c>
      <c r="D16" s="28">
        <v>15761.23445197</v>
      </c>
      <c r="E16" s="29">
        <v>1392.0423548056499</v>
      </c>
      <c r="F16" s="30">
        <v>4.9480695726879098</v>
      </c>
      <c r="G16" s="31">
        <v>0.43701668423857398</v>
      </c>
    </row>
    <row r="17" spans="1:7" x14ac:dyDescent="0.3">
      <c r="A17" s="6" t="s">
        <v>1063</v>
      </c>
      <c r="B17" s="6"/>
      <c r="C17" s="24">
        <v>17</v>
      </c>
      <c r="D17" s="24">
        <v>8611.7571481836803</v>
      </c>
      <c r="E17" s="25">
        <v>2903.97911579626</v>
      </c>
      <c r="F17" s="26">
        <v>2.7035682796393701</v>
      </c>
      <c r="G17" s="27">
        <v>0.91167292424843105</v>
      </c>
    </row>
    <row r="18" spans="1:7" x14ac:dyDescent="0.3">
      <c r="A18" s="11" t="s">
        <v>6364</v>
      </c>
      <c r="B18" s="11"/>
      <c r="C18" s="28">
        <v>13</v>
      </c>
      <c r="D18" s="28">
        <v>4747.1498164867999</v>
      </c>
      <c r="E18" s="29">
        <v>2033.30483151608</v>
      </c>
      <c r="F18" s="30">
        <v>1.4903164872985799</v>
      </c>
      <c r="G18" s="31">
        <v>0.63833412284318503</v>
      </c>
    </row>
    <row r="19" spans="1:7" x14ac:dyDescent="0.3">
      <c r="A19" s="6" t="s">
        <v>1067</v>
      </c>
      <c r="B19" s="6"/>
      <c r="C19" s="24">
        <v>10</v>
      </c>
      <c r="D19" s="24">
        <v>3336.2231307039201</v>
      </c>
      <c r="E19" s="25">
        <v>2087.1681102941402</v>
      </c>
      <c r="F19" s="26">
        <v>1.0473712710155401</v>
      </c>
      <c r="G19" s="27">
        <v>0.65524391830489903</v>
      </c>
    </row>
    <row r="20" spans="1:7" x14ac:dyDescent="0.3">
      <c r="A20" s="11" t="s">
        <v>1065</v>
      </c>
      <c r="B20" s="11"/>
      <c r="C20" s="28">
        <v>11</v>
      </c>
      <c r="D20" s="28">
        <v>2695.9225745338999</v>
      </c>
      <c r="E20" s="29">
        <v>1796.5697546424899</v>
      </c>
      <c r="F20" s="30">
        <v>0.84635581699036</v>
      </c>
      <c r="G20" s="31">
        <v>0.56401369862541495</v>
      </c>
    </row>
    <row r="21" spans="1:7" x14ac:dyDescent="0.3">
      <c r="A21" s="6" t="s">
        <v>6365</v>
      </c>
      <c r="B21" s="6"/>
      <c r="C21" s="24">
        <v>12</v>
      </c>
      <c r="D21" s="24">
        <v>2497.8235757002299</v>
      </c>
      <c r="E21" s="25">
        <v>737.95357502077002</v>
      </c>
      <c r="F21" s="26">
        <v>0.78416477278656505</v>
      </c>
      <c r="G21" s="27">
        <v>0.23167256611427101</v>
      </c>
    </row>
    <row r="22" spans="1:7" x14ac:dyDescent="0.3">
      <c r="A22" s="11" t="s">
        <v>1073</v>
      </c>
      <c r="B22" s="11"/>
      <c r="C22" s="28">
        <v>4</v>
      </c>
      <c r="D22" s="28">
        <v>2002.7687524932701</v>
      </c>
      <c r="E22" s="29">
        <v>1258.4233265947</v>
      </c>
      <c r="F22" s="30">
        <v>0.62874765016286205</v>
      </c>
      <c r="G22" s="31">
        <v>0.39506843140104703</v>
      </c>
    </row>
    <row r="23" spans="1:7" x14ac:dyDescent="0.3">
      <c r="A23" s="6" t="s">
        <v>1075</v>
      </c>
      <c r="B23" s="6"/>
      <c r="C23" s="24">
        <v>3</v>
      </c>
      <c r="D23" s="24">
        <v>1207.54303564103</v>
      </c>
      <c r="E23" s="25">
        <v>773.80315204891497</v>
      </c>
      <c r="F23" s="26">
        <v>0.37909511279554398</v>
      </c>
      <c r="G23" s="27">
        <v>0.242927154187765</v>
      </c>
    </row>
    <row r="24" spans="1:7" x14ac:dyDescent="0.3">
      <c r="A24" s="11" t="s">
        <v>1120</v>
      </c>
      <c r="B24" s="11"/>
      <c r="C24" s="28">
        <v>1</v>
      </c>
      <c r="D24" s="28">
        <v>1065.6157772939</v>
      </c>
      <c r="E24" s="29">
        <v>1078.92391349782</v>
      </c>
      <c r="F24" s="30">
        <v>0.33453858071028802</v>
      </c>
      <c r="G24" s="31">
        <v>0.33871652654444501</v>
      </c>
    </row>
    <row r="25" spans="1:7" x14ac:dyDescent="0.3">
      <c r="A25" s="6" t="s">
        <v>1226</v>
      </c>
      <c r="B25" s="6"/>
      <c r="C25" s="24">
        <v>1</v>
      </c>
      <c r="D25" s="24">
        <v>816.58598769772505</v>
      </c>
      <c r="E25" s="25">
        <v>860.67655720270795</v>
      </c>
      <c r="F25" s="26">
        <v>0.25635836403064199</v>
      </c>
      <c r="G25" s="27">
        <v>0.27020012281387101</v>
      </c>
    </row>
    <row r="26" spans="1:7" x14ac:dyDescent="0.3">
      <c r="A26" s="11" t="s">
        <v>1154</v>
      </c>
      <c r="B26" s="11"/>
      <c r="C26" s="28">
        <v>1</v>
      </c>
      <c r="D26" s="28">
        <v>653.41040834882301</v>
      </c>
      <c r="E26" s="29">
        <v>678.96277282380595</v>
      </c>
      <c r="F26" s="30">
        <v>0.20513115072812599</v>
      </c>
      <c r="G26" s="31">
        <v>0.21315303997507501</v>
      </c>
    </row>
    <row r="27" spans="1:7" x14ac:dyDescent="0.3">
      <c r="A27" s="6" t="s">
        <v>1071</v>
      </c>
      <c r="B27" s="6"/>
      <c r="C27" s="24">
        <v>6</v>
      </c>
      <c r="D27" s="24">
        <v>609.62400935839003</v>
      </c>
      <c r="E27" s="25">
        <v>297.47212628747099</v>
      </c>
      <c r="F27" s="26">
        <v>0.19138488299748799</v>
      </c>
      <c r="G27" s="27">
        <v>9.3388165837596598E-2</v>
      </c>
    </row>
    <row r="28" spans="1:7" x14ac:dyDescent="0.3">
      <c r="A28" s="11" t="s">
        <v>1116</v>
      </c>
      <c r="B28" s="11"/>
      <c r="C28" s="28">
        <v>2</v>
      </c>
      <c r="D28" s="28">
        <v>567.15727384300601</v>
      </c>
      <c r="E28" s="29">
        <v>568.61439015867802</v>
      </c>
      <c r="F28" s="30">
        <v>0.17805290938238899</v>
      </c>
      <c r="G28" s="31">
        <v>0.17851035533482501</v>
      </c>
    </row>
    <row r="29" spans="1:7" x14ac:dyDescent="0.3">
      <c r="A29" s="6" t="s">
        <v>3134</v>
      </c>
      <c r="B29" s="6"/>
      <c r="C29" s="24">
        <v>1</v>
      </c>
      <c r="D29" s="24">
        <v>551.09035268037906</v>
      </c>
      <c r="E29" s="25">
        <v>583.47804651714898</v>
      </c>
      <c r="F29" s="26">
        <v>0.173008872763695</v>
      </c>
      <c r="G29" s="27">
        <v>0.18317663994535899</v>
      </c>
    </row>
    <row r="30" spans="1:7" x14ac:dyDescent="0.3">
      <c r="A30" s="11" t="s">
        <v>3103</v>
      </c>
      <c r="B30" s="11"/>
      <c r="C30" s="28">
        <v>1</v>
      </c>
      <c r="D30" s="28">
        <v>499.17868596403298</v>
      </c>
      <c r="E30" s="29">
        <v>497.34005846797999</v>
      </c>
      <c r="F30" s="30">
        <v>0.156711764860794</v>
      </c>
      <c r="G30" s="31">
        <v>0.15613454758784201</v>
      </c>
    </row>
    <row r="31" spans="1:7" x14ac:dyDescent="0.3">
      <c r="A31" s="6" t="s">
        <v>1079</v>
      </c>
      <c r="B31" s="6"/>
      <c r="C31" s="24">
        <v>2</v>
      </c>
      <c r="D31" s="24">
        <v>453.566428306251</v>
      </c>
      <c r="E31" s="25">
        <v>471.96802239790401</v>
      </c>
      <c r="F31" s="26">
        <v>0.14239228849326499</v>
      </c>
      <c r="G31" s="27">
        <v>0.148169270498788</v>
      </c>
    </row>
    <row r="32" spans="1:7" x14ac:dyDescent="0.3">
      <c r="A32" s="11" t="s">
        <v>1172</v>
      </c>
      <c r="B32" s="11"/>
      <c r="C32" s="28">
        <v>1</v>
      </c>
      <c r="D32" s="28">
        <v>302.174629220898</v>
      </c>
      <c r="E32" s="29">
        <v>301.51498658425498</v>
      </c>
      <c r="F32" s="30">
        <v>9.4864465917471094E-2</v>
      </c>
      <c r="G32" s="31">
        <v>9.4657378225884006E-2</v>
      </c>
    </row>
    <row r="33" spans="1:7" x14ac:dyDescent="0.3">
      <c r="A33" s="6" t="s">
        <v>3286</v>
      </c>
      <c r="B33" s="6"/>
      <c r="C33" s="24">
        <v>1</v>
      </c>
      <c r="D33" s="24">
        <v>198.407358699035</v>
      </c>
      <c r="E33" s="25">
        <v>201.62786368562399</v>
      </c>
      <c r="F33" s="26">
        <v>6.22878504578913E-2</v>
      </c>
      <c r="G33" s="27">
        <v>6.3298893265571907E-2</v>
      </c>
    </row>
    <row r="34" spans="1:7" x14ac:dyDescent="0.3">
      <c r="A34" s="11" t="s">
        <v>1140</v>
      </c>
      <c r="B34" s="11"/>
      <c r="C34" s="28">
        <v>1</v>
      </c>
      <c r="D34" s="28">
        <v>197.503582598881</v>
      </c>
      <c r="E34" s="29">
        <v>197.49973475555799</v>
      </c>
      <c r="F34" s="30">
        <v>6.2004119698392597E-2</v>
      </c>
      <c r="G34" s="31">
        <v>6.20029117094801E-2</v>
      </c>
    </row>
    <row r="35" spans="1:7" x14ac:dyDescent="0.3">
      <c r="A35" s="6" t="s">
        <v>3275</v>
      </c>
      <c r="B35" s="6"/>
      <c r="C35" s="24">
        <v>1</v>
      </c>
      <c r="D35" s="24">
        <v>158.903925756235</v>
      </c>
      <c r="E35" s="25">
        <v>169.07178537670501</v>
      </c>
      <c r="F35" s="26">
        <v>4.98861737265009E-2</v>
      </c>
      <c r="G35" s="27">
        <v>5.3078263594888098E-2</v>
      </c>
    </row>
    <row r="36" spans="1:7" x14ac:dyDescent="0.3">
      <c r="A36" s="11" t="s">
        <v>1069</v>
      </c>
      <c r="B36" s="11"/>
      <c r="C36" s="28">
        <v>3</v>
      </c>
      <c r="D36" s="28">
        <v>145.76700555432501</v>
      </c>
      <c r="E36" s="29">
        <v>105.627736218536</v>
      </c>
      <c r="F36" s="30">
        <v>4.5761979309624098E-2</v>
      </c>
      <c r="G36" s="31">
        <v>3.3160688600093698E-2</v>
      </c>
    </row>
    <row r="37" spans="1:7" x14ac:dyDescent="0.3">
      <c r="A37" s="6" t="s">
        <v>6366</v>
      </c>
      <c r="B37" s="6"/>
      <c r="C37" s="24">
        <v>1</v>
      </c>
      <c r="D37" s="24">
        <v>113.219392149423</v>
      </c>
      <c r="E37" s="25">
        <v>119.222068701316</v>
      </c>
      <c r="F37" s="26">
        <v>3.5544007104263302E-2</v>
      </c>
      <c r="G37" s="27">
        <v>3.7428482669398702E-2</v>
      </c>
    </row>
    <row r="38" spans="1:7" x14ac:dyDescent="0.3">
      <c r="A38" s="11" t="s">
        <v>1128</v>
      </c>
      <c r="B38" s="11"/>
      <c r="C38" s="28">
        <v>2</v>
      </c>
      <c r="D38" s="28">
        <v>98.373871454058303</v>
      </c>
      <c r="E38" s="29">
        <v>100.974132661357</v>
      </c>
      <c r="F38" s="30">
        <v>3.0883415989570399E-2</v>
      </c>
      <c r="G38" s="31">
        <v>3.1699739952016401E-2</v>
      </c>
    </row>
    <row r="39" spans="1:7" x14ac:dyDescent="0.3">
      <c r="A39" s="6" t="s">
        <v>6367</v>
      </c>
      <c r="B39" s="6"/>
      <c r="C39" s="24">
        <v>1</v>
      </c>
      <c r="D39" s="24">
        <v>86.136892260651507</v>
      </c>
      <c r="E39" s="25">
        <v>93.810516219110696</v>
      </c>
      <c r="F39" s="26">
        <v>2.7041748346529702E-2</v>
      </c>
      <c r="G39" s="27">
        <v>2.9450799828937901E-2</v>
      </c>
    </row>
    <row r="40" spans="1:7" x14ac:dyDescent="0.3">
      <c r="A40" s="11" t="s">
        <v>1146</v>
      </c>
      <c r="B40" s="11"/>
      <c r="C40" s="28">
        <v>1</v>
      </c>
      <c r="D40" s="28">
        <v>66.959180527101196</v>
      </c>
      <c r="E40" s="29">
        <v>70.987441841165094</v>
      </c>
      <c r="F40" s="30">
        <v>2.10211125776925E-2</v>
      </c>
      <c r="G40" s="31">
        <v>2.2285741772803801E-2</v>
      </c>
    </row>
    <row r="41" spans="1:7" x14ac:dyDescent="0.3">
      <c r="A41" s="6" t="s">
        <v>3261</v>
      </c>
      <c r="B41" s="6"/>
      <c r="C41" s="24">
        <v>1</v>
      </c>
      <c r="D41" s="24">
        <v>32.978673688731497</v>
      </c>
      <c r="E41" s="25">
        <v>34.877693881849098</v>
      </c>
      <c r="F41" s="26">
        <v>1.03532989325224E-2</v>
      </c>
      <c r="G41" s="27">
        <v>1.0949475841388201E-2</v>
      </c>
    </row>
    <row r="42" spans="1:7" x14ac:dyDescent="0.3">
      <c r="A42" s="11" t="s">
        <v>6354</v>
      </c>
      <c r="B42" s="11" t="s">
        <v>6355</v>
      </c>
      <c r="C42" s="28">
        <v>1048</v>
      </c>
      <c r="D42" s="28">
        <v>318533</v>
      </c>
      <c r="E42" s="29">
        <v>5.3619696310167601E-10</v>
      </c>
      <c r="F42" s="30">
        <v>100</v>
      </c>
      <c r="G42" s="31">
        <v>1.78031750616652E-14</v>
      </c>
    </row>
    <row r="43" spans="1:7" x14ac:dyDescent="0.3">
      <c r="A43" s="6" t="s">
        <v>6354</v>
      </c>
      <c r="B43" s="6" t="s">
        <v>6356</v>
      </c>
      <c r="C43" s="24">
        <v>1048</v>
      </c>
      <c r="D43" s="24">
        <v>318533</v>
      </c>
      <c r="E43" s="25">
        <v>0</v>
      </c>
      <c r="F43" s="26">
        <v>100</v>
      </c>
      <c r="G43" s="27">
        <v>0</v>
      </c>
    </row>
    <row r="44" spans="1:7" x14ac:dyDescent="0.3">
      <c r="A44" s="3449" t="s">
        <v>754</v>
      </c>
      <c r="B44" s="3450"/>
      <c r="C44" s="3450"/>
      <c r="D44" s="3450"/>
      <c r="E44" s="3450"/>
      <c r="F44" s="3450"/>
      <c r="G44" s="3450"/>
    </row>
    <row r="45" spans="1:7" x14ac:dyDescent="0.3">
      <c r="A45" s="11" t="s">
        <v>1025</v>
      </c>
      <c r="B45" s="11" t="s">
        <v>6152</v>
      </c>
      <c r="C45" s="36">
        <v>191</v>
      </c>
      <c r="D45" s="36">
        <v>65464.947202718897</v>
      </c>
      <c r="E45" s="37">
        <v>0.23347961736308701</v>
      </c>
      <c r="F45" s="38">
        <v>20.552014140675801</v>
      </c>
      <c r="G45" s="39">
        <v>7.3298407799281894E-5</v>
      </c>
    </row>
    <row r="46" spans="1:7" x14ac:dyDescent="0.3">
      <c r="A46" s="6" t="s">
        <v>1031</v>
      </c>
      <c r="B46" s="6" t="s">
        <v>6155</v>
      </c>
      <c r="C46" s="32">
        <v>166</v>
      </c>
      <c r="D46" s="32">
        <v>65464.072367671397</v>
      </c>
      <c r="E46" s="33">
        <v>0.320966803583563</v>
      </c>
      <c r="F46" s="34">
        <v>20.551739495647698</v>
      </c>
      <c r="G46" s="35">
        <v>1.00764066419321E-4</v>
      </c>
    </row>
    <row r="47" spans="1:7" x14ac:dyDescent="0.3">
      <c r="A47" s="11" t="s">
        <v>1027</v>
      </c>
      <c r="B47" s="11" t="s">
        <v>6153</v>
      </c>
      <c r="C47" s="36">
        <v>160</v>
      </c>
      <c r="D47" s="36">
        <v>65463.944342365503</v>
      </c>
      <c r="E47" s="37">
        <v>0.249227799640689</v>
      </c>
      <c r="F47" s="38">
        <v>20.551699303483598</v>
      </c>
      <c r="G47" s="39">
        <v>7.8242379773275599E-5</v>
      </c>
    </row>
    <row r="48" spans="1:7" x14ac:dyDescent="0.3">
      <c r="A48" s="6" t="s">
        <v>1029</v>
      </c>
      <c r="B48" s="6" t="s">
        <v>6154</v>
      </c>
      <c r="C48" s="32">
        <v>178</v>
      </c>
      <c r="D48" s="32">
        <v>64209.009554702003</v>
      </c>
      <c r="E48" s="33">
        <v>5.1630655508695597E-2</v>
      </c>
      <c r="F48" s="34">
        <v>20.157726061256501</v>
      </c>
      <c r="G48" s="35">
        <v>1.6208887488245699E-5</v>
      </c>
    </row>
    <row r="49" spans="1:7" x14ac:dyDescent="0.3">
      <c r="A49" s="11" t="s">
        <v>1023</v>
      </c>
      <c r="B49" s="11" t="s">
        <v>6151</v>
      </c>
      <c r="C49" s="36">
        <v>191</v>
      </c>
      <c r="D49" s="36">
        <v>57931.026532542099</v>
      </c>
      <c r="E49" s="37">
        <v>0.118192161152138</v>
      </c>
      <c r="F49" s="38">
        <v>18.186820998936401</v>
      </c>
      <c r="G49" s="39">
        <v>3.7105154327044103E-5</v>
      </c>
    </row>
    <row r="50" spans="1:7" x14ac:dyDescent="0.3">
      <c r="A50" s="6" t="s">
        <v>6354</v>
      </c>
      <c r="B50" s="6" t="s">
        <v>6355</v>
      </c>
      <c r="C50" s="32">
        <v>886</v>
      </c>
      <c r="D50" s="32">
        <v>318533</v>
      </c>
      <c r="E50" s="33">
        <v>5.6776450997190403E-10</v>
      </c>
      <c r="F50" s="34">
        <v>100</v>
      </c>
      <c r="G50" s="35">
        <v>1.02786679142825E-14</v>
      </c>
    </row>
    <row r="51" spans="1:7" x14ac:dyDescent="0.3">
      <c r="A51" s="11" t="s">
        <v>6354</v>
      </c>
      <c r="B51" s="11" t="s">
        <v>6356</v>
      </c>
      <c r="C51" s="36">
        <v>886</v>
      </c>
      <c r="D51" s="36">
        <v>318533</v>
      </c>
      <c r="E51" s="37">
        <v>0</v>
      </c>
      <c r="F51" s="38">
        <v>100</v>
      </c>
      <c r="G51" s="39">
        <v>0</v>
      </c>
    </row>
    <row r="52" spans="1:7" x14ac:dyDescent="0.3">
      <c r="A52" s="3449" t="s">
        <v>694</v>
      </c>
      <c r="B52" s="3450"/>
      <c r="C52" s="3450"/>
      <c r="D52" s="3450"/>
      <c r="E52" s="3450"/>
      <c r="F52" s="3450"/>
      <c r="G52" s="3450"/>
    </row>
    <row r="53" spans="1:7" x14ac:dyDescent="0.3">
      <c r="A53" s="11" t="s">
        <v>6368</v>
      </c>
      <c r="B53" s="11"/>
      <c r="C53" s="44">
        <v>1049</v>
      </c>
      <c r="D53" s="44">
        <v>318533</v>
      </c>
      <c r="E53" s="45">
        <v>2.4423447799150501E-9</v>
      </c>
      <c r="F53" s="46">
        <v>100</v>
      </c>
      <c r="G53" s="47">
        <v>0</v>
      </c>
    </row>
    <row r="54" spans="1:7" x14ac:dyDescent="0.3">
      <c r="A54" s="6" t="s">
        <v>6354</v>
      </c>
      <c r="B54" s="6" t="s">
        <v>6355</v>
      </c>
      <c r="C54" s="40">
        <v>1049</v>
      </c>
      <c r="D54" s="40">
        <v>318533</v>
      </c>
      <c r="E54" s="41">
        <v>2.4423447799150501E-9</v>
      </c>
      <c r="F54" s="42">
        <v>100</v>
      </c>
      <c r="G54" s="43">
        <v>0</v>
      </c>
    </row>
    <row r="55" spans="1:7" x14ac:dyDescent="0.3">
      <c r="A55" s="11" t="s">
        <v>6354</v>
      </c>
      <c r="B55" s="11" t="s">
        <v>6356</v>
      </c>
      <c r="C55" s="44">
        <v>1049</v>
      </c>
      <c r="D55" s="44">
        <v>318533</v>
      </c>
      <c r="E55" s="45">
        <v>0</v>
      </c>
      <c r="F55" s="46">
        <v>100</v>
      </c>
      <c r="G55" s="47">
        <v>0</v>
      </c>
    </row>
    <row r="56" spans="1:7" x14ac:dyDescent="0.3">
      <c r="A56" s="3449" t="s">
        <v>385</v>
      </c>
      <c r="B56" s="3450"/>
      <c r="C56" s="3450"/>
      <c r="D56" s="3450"/>
      <c r="E56" s="3450"/>
      <c r="F56" s="3450"/>
      <c r="G56" s="3450"/>
    </row>
    <row r="57" spans="1:7" x14ac:dyDescent="0.3">
      <c r="A57" s="11" t="s">
        <v>1021</v>
      </c>
      <c r="B57" s="11" t="s">
        <v>3181</v>
      </c>
      <c r="C57" s="52">
        <v>1045</v>
      </c>
      <c r="D57" s="52">
        <v>316372.12252127501</v>
      </c>
      <c r="E57" s="53">
        <v>1587.4869579671599</v>
      </c>
      <c r="F57" s="54">
        <v>99.321615820425194</v>
      </c>
      <c r="G57" s="55">
        <v>0.49837440954861001</v>
      </c>
    </row>
    <row r="58" spans="1:7" x14ac:dyDescent="0.3">
      <c r="A58" s="6" t="s">
        <v>1023</v>
      </c>
      <c r="B58" s="6" t="s">
        <v>3182</v>
      </c>
      <c r="C58" s="48">
        <v>4</v>
      </c>
      <c r="D58" s="48">
        <v>2160.87747872506</v>
      </c>
      <c r="E58" s="49">
        <v>1587.48695796744</v>
      </c>
      <c r="F58" s="50">
        <v>0.678384179574819</v>
      </c>
      <c r="G58" s="51">
        <v>0.49837440954859902</v>
      </c>
    </row>
    <row r="59" spans="1:7" x14ac:dyDescent="0.3">
      <c r="A59" s="11" t="s">
        <v>6354</v>
      </c>
      <c r="B59" s="11" t="s">
        <v>6355</v>
      </c>
      <c r="C59" s="52">
        <v>1049</v>
      </c>
      <c r="D59" s="52">
        <v>318533</v>
      </c>
      <c r="E59" s="53">
        <v>2.8885145905583299E-9</v>
      </c>
      <c r="F59" s="54">
        <v>100</v>
      </c>
      <c r="G59" s="55">
        <v>2.0557335828564899E-14</v>
      </c>
    </row>
    <row r="60" spans="1:7" x14ac:dyDescent="0.3">
      <c r="A60" s="6" t="s">
        <v>6354</v>
      </c>
      <c r="B60" s="6" t="s">
        <v>6356</v>
      </c>
      <c r="C60" s="48">
        <v>1049</v>
      </c>
      <c r="D60" s="48">
        <v>318533</v>
      </c>
      <c r="E60" s="49">
        <v>0</v>
      </c>
      <c r="F60" s="50">
        <v>100</v>
      </c>
      <c r="G60" s="51">
        <v>0</v>
      </c>
    </row>
    <row r="61" spans="1:7" x14ac:dyDescent="0.3">
      <c r="A61" s="3449" t="s">
        <v>628</v>
      </c>
      <c r="B61" s="3450"/>
      <c r="C61" s="3450"/>
      <c r="D61" s="3450"/>
      <c r="E61" s="3450"/>
      <c r="F61" s="3450"/>
      <c r="G61" s="3450"/>
    </row>
    <row r="62" spans="1:7" x14ac:dyDescent="0.3">
      <c r="A62" s="11" t="s">
        <v>1029</v>
      </c>
      <c r="B62" s="11" t="s">
        <v>319</v>
      </c>
      <c r="C62" s="60">
        <v>1004</v>
      </c>
      <c r="D62" s="60">
        <v>303485.03812232602</v>
      </c>
      <c r="E62" s="61">
        <v>3710.9931504402898</v>
      </c>
      <c r="F62" s="62">
        <v>95.275854659431403</v>
      </c>
      <c r="G62" s="63">
        <v>1.1650262768505399</v>
      </c>
    </row>
    <row r="63" spans="1:7" x14ac:dyDescent="0.3">
      <c r="A63" s="6" t="s">
        <v>1219</v>
      </c>
      <c r="B63" s="6" t="s">
        <v>6099</v>
      </c>
      <c r="C63" s="56">
        <v>45</v>
      </c>
      <c r="D63" s="56">
        <v>15047.9618776733</v>
      </c>
      <c r="E63" s="57">
        <v>3710.9931504403298</v>
      </c>
      <c r="F63" s="58">
        <v>4.7241453405685796</v>
      </c>
      <c r="G63" s="59">
        <v>1.1650262768505399</v>
      </c>
    </row>
    <row r="64" spans="1:7" x14ac:dyDescent="0.3">
      <c r="A64" s="11" t="s">
        <v>6354</v>
      </c>
      <c r="B64" s="11" t="s">
        <v>6355</v>
      </c>
      <c r="C64" s="60">
        <v>1049</v>
      </c>
      <c r="D64" s="60">
        <v>318533</v>
      </c>
      <c r="E64" s="61">
        <v>1.7636056765382099E-9</v>
      </c>
      <c r="F64" s="62">
        <v>100</v>
      </c>
      <c r="G64" s="63">
        <v>1.78031750616652E-14</v>
      </c>
    </row>
    <row r="65" spans="1:7" x14ac:dyDescent="0.3">
      <c r="A65" s="6" t="s">
        <v>6354</v>
      </c>
      <c r="B65" s="6" t="s">
        <v>6356</v>
      </c>
      <c r="C65" s="56">
        <v>1049</v>
      </c>
      <c r="D65" s="56">
        <v>318533</v>
      </c>
      <c r="E65" s="57">
        <v>0</v>
      </c>
      <c r="F65" s="58">
        <v>100</v>
      </c>
      <c r="G65" s="59">
        <v>0</v>
      </c>
    </row>
    <row r="66" spans="1:7" x14ac:dyDescent="0.3">
      <c r="A66" s="3449" t="s">
        <v>630</v>
      </c>
      <c r="B66" s="3450"/>
      <c r="C66" s="3450"/>
      <c r="D66" s="3450"/>
      <c r="E66" s="3450"/>
      <c r="F66" s="3450"/>
      <c r="G66" s="3450"/>
    </row>
    <row r="67" spans="1:7" x14ac:dyDescent="0.3">
      <c r="A67" s="11" t="s">
        <v>1025</v>
      </c>
      <c r="B67" s="11" t="s">
        <v>6114</v>
      </c>
      <c r="C67" s="68">
        <v>1049</v>
      </c>
      <c r="D67" s="68">
        <v>318533</v>
      </c>
      <c r="E67" s="69">
        <v>2.4423447799150501E-9</v>
      </c>
      <c r="F67" s="70">
        <v>100</v>
      </c>
      <c r="G67" s="71">
        <v>0</v>
      </c>
    </row>
    <row r="68" spans="1:7" x14ac:dyDescent="0.3">
      <c r="A68" s="6" t="s">
        <v>6354</v>
      </c>
      <c r="B68" s="6" t="s">
        <v>6355</v>
      </c>
      <c r="C68" s="64">
        <v>1049</v>
      </c>
      <c r="D68" s="64">
        <v>318533</v>
      </c>
      <c r="E68" s="65">
        <v>2.4423447799150501E-9</v>
      </c>
      <c r="F68" s="66">
        <v>100</v>
      </c>
      <c r="G68" s="67">
        <v>0</v>
      </c>
    </row>
    <row r="69" spans="1:7" x14ac:dyDescent="0.3">
      <c r="A69" s="11" t="s">
        <v>6354</v>
      </c>
      <c r="B69" s="11" t="s">
        <v>6356</v>
      </c>
      <c r="C69" s="68">
        <v>1049</v>
      </c>
      <c r="D69" s="68">
        <v>318533</v>
      </c>
      <c r="E69" s="69">
        <v>0</v>
      </c>
      <c r="F69" s="70">
        <v>100</v>
      </c>
      <c r="G69" s="71">
        <v>0</v>
      </c>
    </row>
    <row r="70" spans="1:7" x14ac:dyDescent="0.3">
      <c r="A70" s="3449" t="s">
        <v>596</v>
      </c>
      <c r="B70" s="3450"/>
      <c r="C70" s="3450"/>
      <c r="D70" s="3450"/>
      <c r="E70" s="3450"/>
      <c r="F70" s="3450"/>
      <c r="G70" s="3450"/>
    </row>
    <row r="71" spans="1:7" x14ac:dyDescent="0.3">
      <c r="A71" s="11" t="s">
        <v>1021</v>
      </c>
      <c r="B71" s="11" t="s">
        <v>6074</v>
      </c>
      <c r="C71" s="76">
        <v>981</v>
      </c>
      <c r="D71" s="76">
        <v>292009.940565383</v>
      </c>
      <c r="E71" s="77">
        <v>3516.5463582112702</v>
      </c>
      <c r="F71" s="78">
        <v>91.673371539332706</v>
      </c>
      <c r="G71" s="79">
        <v>1.1039818035215201</v>
      </c>
    </row>
    <row r="72" spans="1:7" x14ac:dyDescent="0.3">
      <c r="A72" s="6" t="s">
        <v>1025</v>
      </c>
      <c r="B72" s="6" t="s">
        <v>6076</v>
      </c>
      <c r="C72" s="72">
        <v>62</v>
      </c>
      <c r="D72" s="72">
        <v>24665.555150616001</v>
      </c>
      <c r="E72" s="73">
        <v>3046.0815979060999</v>
      </c>
      <c r="F72" s="74">
        <v>7.7434850237231299</v>
      </c>
      <c r="G72" s="75">
        <v>0.95628446594422001</v>
      </c>
    </row>
    <row r="73" spans="1:7" x14ac:dyDescent="0.3">
      <c r="A73" s="11" t="s">
        <v>1023</v>
      </c>
      <c r="B73" s="11" t="s">
        <v>6075</v>
      </c>
      <c r="C73" s="76">
        <v>6</v>
      </c>
      <c r="D73" s="76">
        <v>1857.50428400134</v>
      </c>
      <c r="E73" s="77">
        <v>803.51897876135195</v>
      </c>
      <c r="F73" s="78">
        <v>0.58314343694415904</v>
      </c>
      <c r="G73" s="79">
        <v>0.25225611750159399</v>
      </c>
    </row>
    <row r="74" spans="1:7" x14ac:dyDescent="0.3">
      <c r="A74" s="6" t="s">
        <v>6354</v>
      </c>
      <c r="B74" s="6" t="s">
        <v>6355</v>
      </c>
      <c r="C74" s="72">
        <v>1049</v>
      </c>
      <c r="D74" s="72">
        <v>318533</v>
      </c>
      <c r="E74" s="73">
        <v>2.0321536930028099E-9</v>
      </c>
      <c r="F74" s="74">
        <v>100</v>
      </c>
      <c r="G74" s="75">
        <v>1.00709966502038E-13</v>
      </c>
    </row>
    <row r="75" spans="1:7" x14ac:dyDescent="0.3">
      <c r="A75" s="11" t="s">
        <v>6354</v>
      </c>
      <c r="B75" s="11" t="s">
        <v>6356</v>
      </c>
      <c r="C75" s="76">
        <v>1049</v>
      </c>
      <c r="D75" s="76">
        <v>318533</v>
      </c>
      <c r="E75" s="77">
        <v>0</v>
      </c>
      <c r="F75" s="78">
        <v>100</v>
      </c>
      <c r="G75" s="79">
        <v>0</v>
      </c>
    </row>
    <row r="76" spans="1:7" x14ac:dyDescent="0.3">
      <c r="A76" s="3449" t="s">
        <v>600</v>
      </c>
      <c r="B76" s="3450"/>
      <c r="C76" s="3450"/>
      <c r="D76" s="3450"/>
      <c r="E76" s="3450"/>
      <c r="F76" s="3450"/>
      <c r="G76" s="3450"/>
    </row>
    <row r="77" spans="1:7" x14ac:dyDescent="0.3">
      <c r="A77" s="11" t="s">
        <v>1025</v>
      </c>
      <c r="B77" s="11" t="s">
        <v>6076</v>
      </c>
      <c r="C77" s="84">
        <v>672</v>
      </c>
      <c r="D77" s="84">
        <v>223916.302367678</v>
      </c>
      <c r="E77" s="85">
        <v>6161.6752117472997</v>
      </c>
      <c r="F77" s="86">
        <v>70.296108210979199</v>
      </c>
      <c r="G77" s="87">
        <v>1.93439147961038</v>
      </c>
    </row>
    <row r="78" spans="1:7" x14ac:dyDescent="0.3">
      <c r="A78" s="6" t="s">
        <v>1023</v>
      </c>
      <c r="B78" s="6" t="s">
        <v>6075</v>
      </c>
      <c r="C78" s="80">
        <v>377</v>
      </c>
      <c r="D78" s="80">
        <v>94616.697632321506</v>
      </c>
      <c r="E78" s="81">
        <v>6161.6752117473898</v>
      </c>
      <c r="F78" s="82">
        <v>29.703891789020801</v>
      </c>
      <c r="G78" s="83">
        <v>1.93439147961039</v>
      </c>
    </row>
    <row r="79" spans="1:7" x14ac:dyDescent="0.3">
      <c r="A79" s="11" t="s">
        <v>6354</v>
      </c>
      <c r="B79" s="11" t="s">
        <v>6355</v>
      </c>
      <c r="C79" s="84">
        <v>1049</v>
      </c>
      <c r="D79" s="84">
        <v>318533</v>
      </c>
      <c r="E79" s="85">
        <v>7.3099711696470598E-10</v>
      </c>
      <c r="F79" s="86">
        <v>100</v>
      </c>
      <c r="G79" s="87">
        <v>2.5177491625509499E-14</v>
      </c>
    </row>
    <row r="80" spans="1:7" x14ac:dyDescent="0.3">
      <c r="A80" s="6" t="s">
        <v>6354</v>
      </c>
      <c r="B80" s="6" t="s">
        <v>6356</v>
      </c>
      <c r="C80" s="80">
        <v>1049</v>
      </c>
      <c r="D80" s="80">
        <v>318533</v>
      </c>
      <c r="E80" s="81">
        <v>0</v>
      </c>
      <c r="F80" s="82">
        <v>100</v>
      </c>
      <c r="G80" s="83">
        <v>0</v>
      </c>
    </row>
    <row r="81" spans="1:7" x14ac:dyDescent="0.3">
      <c r="A81" s="3449" t="s">
        <v>308</v>
      </c>
      <c r="B81" s="3450"/>
      <c r="C81" s="3450"/>
      <c r="D81" s="3450"/>
      <c r="E81" s="3450"/>
      <c r="F81" s="3450"/>
      <c r="G81" s="3450"/>
    </row>
    <row r="82" spans="1:7" x14ac:dyDescent="0.3">
      <c r="A82" s="11" t="s">
        <v>1021</v>
      </c>
      <c r="B82" s="11" t="s">
        <v>3158</v>
      </c>
      <c r="C82" s="92">
        <v>833</v>
      </c>
      <c r="D82" s="92">
        <v>198910.58179706801</v>
      </c>
      <c r="E82" s="93">
        <v>1.7975535049204201</v>
      </c>
      <c r="F82" s="94">
        <v>62.445831922302602</v>
      </c>
      <c r="G82" s="95">
        <v>5.6432253656418796E-4</v>
      </c>
    </row>
    <row r="83" spans="1:7" x14ac:dyDescent="0.3">
      <c r="A83" s="6" t="s">
        <v>1023</v>
      </c>
      <c r="B83" s="6" t="s">
        <v>3159</v>
      </c>
      <c r="C83" s="88">
        <v>211</v>
      </c>
      <c r="D83" s="88">
        <v>117653.02431334701</v>
      </c>
      <c r="E83" s="89">
        <v>1424.3638288289401</v>
      </c>
      <c r="F83" s="90">
        <v>36.935898105799701</v>
      </c>
      <c r="G83" s="91">
        <v>0.44716366242397698</v>
      </c>
    </row>
    <row r="84" spans="1:7" x14ac:dyDescent="0.3">
      <c r="A84" s="11" t="s">
        <v>1052</v>
      </c>
      <c r="B84" s="11" t="s">
        <v>3160</v>
      </c>
      <c r="C84" s="92">
        <v>5</v>
      </c>
      <c r="D84" s="92">
        <v>1969.3938895850399</v>
      </c>
      <c r="E84" s="93">
        <v>1424.39146792203</v>
      </c>
      <c r="F84" s="94">
        <v>0.61826997189774502</v>
      </c>
      <c r="G84" s="95">
        <v>0.44717233941916001</v>
      </c>
    </row>
    <row r="85" spans="1:7" x14ac:dyDescent="0.3">
      <c r="A85" s="6" t="s">
        <v>6354</v>
      </c>
      <c r="B85" s="6" t="s">
        <v>6355</v>
      </c>
      <c r="C85" s="88">
        <v>1049</v>
      </c>
      <c r="D85" s="88">
        <v>318533</v>
      </c>
      <c r="E85" s="89">
        <v>1.2217667790849401E-9</v>
      </c>
      <c r="F85" s="90">
        <v>100</v>
      </c>
      <c r="G85" s="91">
        <v>3.0836003742847398E-14</v>
      </c>
    </row>
    <row r="86" spans="1:7" x14ac:dyDescent="0.3">
      <c r="A86" s="11" t="s">
        <v>6354</v>
      </c>
      <c r="B86" s="11" t="s">
        <v>6356</v>
      </c>
      <c r="C86" s="92">
        <v>1049</v>
      </c>
      <c r="D86" s="92">
        <v>318533</v>
      </c>
      <c r="E86" s="93">
        <v>0</v>
      </c>
      <c r="F86" s="94">
        <v>100</v>
      </c>
      <c r="G86" s="95">
        <v>0</v>
      </c>
    </row>
    <row r="87" spans="1:7" x14ac:dyDescent="0.3">
      <c r="A87" s="3449" t="s">
        <v>313</v>
      </c>
      <c r="B87" s="3450"/>
      <c r="C87" s="3450"/>
      <c r="D87" s="3450"/>
      <c r="E87" s="3450"/>
      <c r="F87" s="3450"/>
      <c r="G87" s="3450"/>
    </row>
    <row r="88" spans="1:7" x14ac:dyDescent="0.3">
      <c r="A88" s="11" t="s">
        <v>6369</v>
      </c>
      <c r="B88" s="11"/>
      <c r="C88" s="100">
        <v>1</v>
      </c>
      <c r="D88" s="100">
        <v>613.80806403289898</v>
      </c>
      <c r="E88" s="101">
        <v>634.14682551908504</v>
      </c>
      <c r="F88" s="102">
        <v>55.770440386369401</v>
      </c>
      <c r="G88" s="103">
        <v>51.720917891499397</v>
      </c>
    </row>
    <row r="89" spans="1:7" x14ac:dyDescent="0.3">
      <c r="A89" s="6" t="s">
        <v>6370</v>
      </c>
      <c r="B89" s="6"/>
      <c r="C89" s="96">
        <v>2</v>
      </c>
      <c r="D89" s="96">
        <v>430.11550485885402</v>
      </c>
      <c r="E89" s="97">
        <v>443.09527840876802</v>
      </c>
      <c r="F89" s="98">
        <v>39.0801824358212</v>
      </c>
      <c r="G89" s="99">
        <v>36.2953662056509</v>
      </c>
    </row>
    <row r="90" spans="1:7" x14ac:dyDescent="0.3">
      <c r="A90" s="11" t="s">
        <v>6371</v>
      </c>
      <c r="B90" s="11"/>
      <c r="C90" s="100">
        <v>1</v>
      </c>
      <c r="D90" s="100">
        <v>56.673915690630203</v>
      </c>
      <c r="E90" s="101">
        <v>60.878117653070397</v>
      </c>
      <c r="F90" s="102">
        <v>5.1493771778094599</v>
      </c>
      <c r="G90" s="103">
        <v>87.958477369730204</v>
      </c>
    </row>
    <row r="91" spans="1:7" x14ac:dyDescent="0.3">
      <c r="A91" s="6" t="s">
        <v>1019</v>
      </c>
      <c r="B91" s="6" t="s">
        <v>1020</v>
      </c>
      <c r="C91" s="96">
        <v>1044</v>
      </c>
      <c r="D91" s="96">
        <v>316563.60611041501</v>
      </c>
      <c r="E91" s="97">
        <v>1424.3914679218101</v>
      </c>
      <c r="F91" s="98">
        <v>99.726305065860302</v>
      </c>
      <c r="G91" s="99">
        <v>0.28774898893967898</v>
      </c>
    </row>
    <row r="92" spans="1:7" x14ac:dyDescent="0.3">
      <c r="A92" s="11" t="s">
        <v>1044</v>
      </c>
      <c r="B92" s="11" t="s">
        <v>1045</v>
      </c>
      <c r="C92" s="100">
        <v>1</v>
      </c>
      <c r="D92" s="100">
        <v>868.796405002661</v>
      </c>
      <c r="E92" s="101">
        <v>913.12678269686796</v>
      </c>
      <c r="F92" s="102">
        <v>0.27369493413970702</v>
      </c>
      <c r="G92" s="103">
        <v>0.28774898893967998</v>
      </c>
    </row>
    <row r="93" spans="1:7" x14ac:dyDescent="0.3">
      <c r="A93" s="6" t="s">
        <v>6354</v>
      </c>
      <c r="B93" s="6" t="s">
        <v>6355</v>
      </c>
      <c r="C93" s="96">
        <v>4</v>
      </c>
      <c r="D93" s="96">
        <v>1100.59748458238</v>
      </c>
      <c r="E93" s="97">
        <v>1072.45237988959</v>
      </c>
      <c r="F93" s="98">
        <v>0.34552071043891303</v>
      </c>
      <c r="G93" s="99">
        <v>0.33668485836305601</v>
      </c>
    </row>
    <row r="94" spans="1:7" x14ac:dyDescent="0.3">
      <c r="A94" s="11" t="s">
        <v>6354</v>
      </c>
      <c r="B94" s="11" t="s">
        <v>6356</v>
      </c>
      <c r="C94" s="100">
        <v>1049</v>
      </c>
      <c r="D94" s="100">
        <v>318533</v>
      </c>
      <c r="E94" s="101">
        <v>0</v>
      </c>
      <c r="F94" s="102">
        <v>100</v>
      </c>
      <c r="G94" s="103">
        <v>0</v>
      </c>
    </row>
    <row r="95" spans="1:7" x14ac:dyDescent="0.3">
      <c r="A95" s="3449" t="s">
        <v>255</v>
      </c>
      <c r="B95" s="3450"/>
      <c r="C95" s="3450"/>
      <c r="D95" s="3450"/>
      <c r="E95" s="3450"/>
      <c r="F95" s="3450"/>
      <c r="G95" s="3450"/>
    </row>
    <row r="96" spans="1:7" x14ac:dyDescent="0.3">
      <c r="A96" s="11" t="s">
        <v>6359</v>
      </c>
      <c r="B96" s="11"/>
      <c r="C96" s="108">
        <v>438</v>
      </c>
      <c r="D96" s="108">
        <v>110702</v>
      </c>
      <c r="E96" s="109">
        <v>8.1304902249409697E-10</v>
      </c>
      <c r="F96" s="110">
        <v>34.753698988801801</v>
      </c>
      <c r="G96" s="111">
        <v>1.07803578559021E-13</v>
      </c>
    </row>
    <row r="97" spans="1:7" x14ac:dyDescent="0.3">
      <c r="A97" s="6" t="s">
        <v>6357</v>
      </c>
      <c r="B97" s="6"/>
      <c r="C97" s="104">
        <v>335</v>
      </c>
      <c r="D97" s="104">
        <v>87277.999999999898</v>
      </c>
      <c r="E97" s="105">
        <v>5.11066198766071E-10</v>
      </c>
      <c r="F97" s="106">
        <v>27.399986814552999</v>
      </c>
      <c r="G97" s="107">
        <v>6.6613381477509405E-14</v>
      </c>
    </row>
    <row r="98" spans="1:7" x14ac:dyDescent="0.3">
      <c r="A98" s="11" t="s">
        <v>6358</v>
      </c>
      <c r="B98" s="11"/>
      <c r="C98" s="108">
        <v>127</v>
      </c>
      <c r="D98" s="108">
        <v>51253.065353500497</v>
      </c>
      <c r="E98" s="109">
        <v>2272.6025357611102</v>
      </c>
      <c r="F98" s="110">
        <v>16.090347107992098</v>
      </c>
      <c r="G98" s="111">
        <v>0.71345905628651496</v>
      </c>
    </row>
    <row r="99" spans="1:7" x14ac:dyDescent="0.3">
      <c r="A99" s="6" t="s">
        <v>6360</v>
      </c>
      <c r="B99" s="6"/>
      <c r="C99" s="104">
        <v>87</v>
      </c>
      <c r="D99" s="104">
        <v>42384.278485818002</v>
      </c>
      <c r="E99" s="105">
        <v>4542.5191172567602</v>
      </c>
      <c r="F99" s="106">
        <v>13.306087119958701</v>
      </c>
      <c r="G99" s="107">
        <v>1.4260748861991701</v>
      </c>
    </row>
    <row r="100" spans="1:7" x14ac:dyDescent="0.3">
      <c r="A100" s="11" t="s">
        <v>6361</v>
      </c>
      <c r="B100" s="11"/>
      <c r="C100" s="108">
        <v>44</v>
      </c>
      <c r="D100" s="108">
        <v>19174.504936728801</v>
      </c>
      <c r="E100" s="109">
        <v>5418.8597449442204</v>
      </c>
      <c r="F100" s="110">
        <v>6.01962902956015</v>
      </c>
      <c r="G100" s="111">
        <v>1.7011925750061101</v>
      </c>
    </row>
    <row r="101" spans="1:7" x14ac:dyDescent="0.3">
      <c r="A101" s="6" t="s">
        <v>6362</v>
      </c>
      <c r="B101" s="6"/>
      <c r="C101" s="104">
        <v>13</v>
      </c>
      <c r="D101" s="104">
        <v>5630.2032634669104</v>
      </c>
      <c r="E101" s="105">
        <v>2249.9160669613302</v>
      </c>
      <c r="F101" s="106">
        <v>1.76754159332531</v>
      </c>
      <c r="G101" s="107">
        <v>0.70633688407836104</v>
      </c>
    </row>
    <row r="102" spans="1:7" x14ac:dyDescent="0.3">
      <c r="A102" s="11" t="s">
        <v>6363</v>
      </c>
      <c r="B102" s="11"/>
      <c r="C102" s="108">
        <v>4</v>
      </c>
      <c r="D102" s="108">
        <v>1955.2877582139199</v>
      </c>
      <c r="E102" s="109">
        <v>1673.0129587048</v>
      </c>
      <c r="F102" s="110">
        <v>0.61384150408714899</v>
      </c>
      <c r="G102" s="111">
        <v>0.52522437508980402</v>
      </c>
    </row>
    <row r="103" spans="1:7" x14ac:dyDescent="0.3">
      <c r="A103" s="6" t="s">
        <v>6364</v>
      </c>
      <c r="B103" s="6"/>
      <c r="C103" s="104">
        <v>1</v>
      </c>
      <c r="D103" s="104">
        <v>155.66020227182</v>
      </c>
      <c r="E103" s="105">
        <v>162.58606737802501</v>
      </c>
      <c r="F103" s="106">
        <v>4.88678417218373E-2</v>
      </c>
      <c r="G103" s="107">
        <v>5.1042142377092897E-2</v>
      </c>
    </row>
    <row r="104" spans="1:7" x14ac:dyDescent="0.3">
      <c r="A104" s="11" t="s">
        <v>6354</v>
      </c>
      <c r="B104" s="11" t="s">
        <v>6355</v>
      </c>
      <c r="C104" s="108">
        <v>1049</v>
      </c>
      <c r="D104" s="108">
        <v>318533</v>
      </c>
      <c r="E104" s="109">
        <v>1.6662328743864401E-9</v>
      </c>
      <c r="F104" s="110">
        <v>100</v>
      </c>
      <c r="G104" s="111">
        <v>9.6968759166016401E-14</v>
      </c>
    </row>
    <row r="105" spans="1:7" x14ac:dyDescent="0.3">
      <c r="A105" s="6" t="s">
        <v>6354</v>
      </c>
      <c r="B105" s="6" t="s">
        <v>6356</v>
      </c>
      <c r="C105" s="104">
        <v>1049</v>
      </c>
      <c r="D105" s="104">
        <v>318533</v>
      </c>
      <c r="E105" s="105">
        <v>0</v>
      </c>
      <c r="F105" s="106">
        <v>100</v>
      </c>
      <c r="G105" s="107">
        <v>0</v>
      </c>
    </row>
    <row r="106" spans="1:7" x14ac:dyDescent="0.3">
      <c r="A106" s="3449" t="s">
        <v>262</v>
      </c>
      <c r="B106" s="3450"/>
      <c r="C106" s="3450"/>
      <c r="D106" s="3450"/>
      <c r="E106" s="3450"/>
      <c r="F106" s="3450"/>
      <c r="G106" s="3450"/>
    </row>
    <row r="107" spans="1:7" x14ac:dyDescent="0.3">
      <c r="A107" s="11" t="s">
        <v>6359</v>
      </c>
      <c r="B107" s="11"/>
      <c r="C107" s="116">
        <v>397</v>
      </c>
      <c r="D107" s="116">
        <v>111237.0138494</v>
      </c>
      <c r="E107" s="117">
        <v>6483.8413140952898</v>
      </c>
      <c r="F107" s="118">
        <v>34.9216608167442</v>
      </c>
      <c r="G107" s="119">
        <v>2.03553205290984</v>
      </c>
    </row>
    <row r="108" spans="1:7" x14ac:dyDescent="0.3">
      <c r="A108" s="6" t="s">
        <v>6357</v>
      </c>
      <c r="B108" s="6"/>
      <c r="C108" s="112">
        <v>304</v>
      </c>
      <c r="D108" s="112">
        <v>106395.480518906</v>
      </c>
      <c r="E108" s="113">
        <v>2.28933239700957</v>
      </c>
      <c r="F108" s="114">
        <v>33.401713643140901</v>
      </c>
      <c r="G108" s="115">
        <v>7.1871121558575403E-4</v>
      </c>
    </row>
    <row r="109" spans="1:7" x14ac:dyDescent="0.3">
      <c r="A109" s="11" t="s">
        <v>6358</v>
      </c>
      <c r="B109" s="11"/>
      <c r="C109" s="116">
        <v>174</v>
      </c>
      <c r="D109" s="116">
        <v>47585.1562199158</v>
      </c>
      <c r="E109" s="117">
        <v>7994.0742690411298</v>
      </c>
      <c r="F109" s="118">
        <v>14.9388465935761</v>
      </c>
      <c r="G109" s="119">
        <v>2.5096534013873399</v>
      </c>
    </row>
    <row r="110" spans="1:7" x14ac:dyDescent="0.3">
      <c r="A110" s="6" t="s">
        <v>6360</v>
      </c>
      <c r="B110" s="6"/>
      <c r="C110" s="112">
        <v>80</v>
      </c>
      <c r="D110" s="112">
        <v>22490.206301556598</v>
      </c>
      <c r="E110" s="113">
        <v>3920.4580915905199</v>
      </c>
      <c r="F110" s="114">
        <v>7.0605577135042896</v>
      </c>
      <c r="G110" s="115">
        <v>1.2307855360639299</v>
      </c>
    </row>
    <row r="111" spans="1:7" x14ac:dyDescent="0.3">
      <c r="A111" s="11" t="s">
        <v>1219</v>
      </c>
      <c r="B111" s="11"/>
      <c r="C111" s="116">
        <v>52</v>
      </c>
      <c r="D111" s="116">
        <v>20359.8673752506</v>
      </c>
      <c r="E111" s="117">
        <v>0.58052918697559397</v>
      </c>
      <c r="F111" s="118">
        <v>6.3917607831058803</v>
      </c>
      <c r="G111" s="119">
        <v>1.8225087725390701E-4</v>
      </c>
    </row>
    <row r="112" spans="1:7" x14ac:dyDescent="0.3">
      <c r="A112" s="6" t="s">
        <v>6361</v>
      </c>
      <c r="B112" s="6"/>
      <c r="C112" s="112">
        <v>28</v>
      </c>
      <c r="D112" s="112">
        <v>6439.1732731280499</v>
      </c>
      <c r="E112" s="113">
        <v>1130.2083837141199</v>
      </c>
      <c r="F112" s="114">
        <v>2.0215090031890099</v>
      </c>
      <c r="G112" s="115">
        <v>0.35481673287041399</v>
      </c>
    </row>
    <row r="113" spans="1:7" x14ac:dyDescent="0.3">
      <c r="A113" s="11" t="s">
        <v>6362</v>
      </c>
      <c r="B113" s="11"/>
      <c r="C113" s="116">
        <v>9</v>
      </c>
      <c r="D113" s="116">
        <v>3300.51610297562</v>
      </c>
      <c r="E113" s="117">
        <v>1660.5797981171299</v>
      </c>
      <c r="F113" s="118">
        <v>1.03616143475735</v>
      </c>
      <c r="G113" s="119">
        <v>0.521321118413832</v>
      </c>
    </row>
    <row r="114" spans="1:7" x14ac:dyDescent="0.3">
      <c r="A114" s="6" t="s">
        <v>6363</v>
      </c>
      <c r="B114" s="6"/>
      <c r="C114" s="112">
        <v>2</v>
      </c>
      <c r="D114" s="112">
        <v>437.68170819677499</v>
      </c>
      <c r="E114" s="113">
        <v>458.183029247523</v>
      </c>
      <c r="F114" s="114">
        <v>0.137405451930185</v>
      </c>
      <c r="G114" s="115">
        <v>0.14384162056914801</v>
      </c>
    </row>
    <row r="115" spans="1:7" x14ac:dyDescent="0.3">
      <c r="A115" s="11" t="s">
        <v>1065</v>
      </c>
      <c r="B115" s="11"/>
      <c r="C115" s="116">
        <v>1</v>
      </c>
      <c r="D115" s="116">
        <v>205.142103045174</v>
      </c>
      <c r="E115" s="117">
        <v>203.844338465492</v>
      </c>
      <c r="F115" s="118">
        <v>6.4402150811744496E-2</v>
      </c>
      <c r="G115" s="119">
        <v>6.3994731618228606E-2</v>
      </c>
    </row>
    <row r="116" spans="1:7" x14ac:dyDescent="0.3">
      <c r="A116" s="6" t="s">
        <v>1067</v>
      </c>
      <c r="B116" s="6"/>
      <c r="C116" s="112">
        <v>1</v>
      </c>
      <c r="D116" s="112">
        <v>82.762547625423593</v>
      </c>
      <c r="E116" s="113">
        <v>86.480414860221899</v>
      </c>
      <c r="F116" s="114">
        <v>2.5982409240305902E-2</v>
      </c>
      <c r="G116" s="115">
        <v>2.7149593561804301E-2</v>
      </c>
    </row>
    <row r="117" spans="1:7" x14ac:dyDescent="0.3">
      <c r="A117" s="11" t="s">
        <v>6354</v>
      </c>
      <c r="B117" s="11" t="s">
        <v>6355</v>
      </c>
      <c r="C117" s="116">
        <v>1048</v>
      </c>
      <c r="D117" s="116">
        <v>318533</v>
      </c>
      <c r="E117" s="117">
        <v>2.1488461111963E-9</v>
      </c>
      <c r="F117" s="118">
        <v>100</v>
      </c>
      <c r="G117" s="119">
        <v>2.71947991102104E-14</v>
      </c>
    </row>
    <row r="118" spans="1:7" x14ac:dyDescent="0.3">
      <c r="A118" s="6" t="s">
        <v>6354</v>
      </c>
      <c r="B118" s="6" t="s">
        <v>6356</v>
      </c>
      <c r="C118" s="112">
        <v>1048</v>
      </c>
      <c r="D118" s="112">
        <v>318533</v>
      </c>
      <c r="E118" s="113">
        <v>0</v>
      </c>
      <c r="F118" s="114">
        <v>100</v>
      </c>
      <c r="G118" s="115">
        <v>0</v>
      </c>
    </row>
    <row r="119" spans="1:7" x14ac:dyDescent="0.3">
      <c r="A119" s="3449" t="s">
        <v>239</v>
      </c>
      <c r="B119" s="3450"/>
      <c r="C119" s="3450"/>
      <c r="D119" s="3450"/>
      <c r="E119" s="3450"/>
      <c r="F119" s="3450"/>
      <c r="G119" s="3450"/>
    </row>
    <row r="120" spans="1:7" x14ac:dyDescent="0.3">
      <c r="A120" s="11" t="s">
        <v>1031</v>
      </c>
      <c r="B120" s="11" t="s">
        <v>3047</v>
      </c>
      <c r="C120" s="124">
        <v>216</v>
      </c>
      <c r="D120" s="124">
        <v>56614.111961145798</v>
      </c>
      <c r="E120" s="125">
        <v>5584.73703052771</v>
      </c>
      <c r="F120" s="126">
        <v>18.235651167148099</v>
      </c>
      <c r="G120" s="127">
        <v>1.7939759009130001</v>
      </c>
    </row>
    <row r="121" spans="1:7" x14ac:dyDescent="0.3">
      <c r="A121" s="6" t="s">
        <v>1029</v>
      </c>
      <c r="B121" s="6" t="s">
        <v>3046</v>
      </c>
      <c r="C121" s="120">
        <v>138</v>
      </c>
      <c r="D121" s="120">
        <v>42166.445811140999</v>
      </c>
      <c r="E121" s="121">
        <v>5558.8827211977996</v>
      </c>
      <c r="F121" s="122">
        <v>13.5819951975603</v>
      </c>
      <c r="G121" s="123">
        <v>1.7905703512596001</v>
      </c>
    </row>
    <row r="122" spans="1:7" x14ac:dyDescent="0.3">
      <c r="A122" s="11" t="s">
        <v>1040</v>
      </c>
      <c r="B122" s="11" t="s">
        <v>3048</v>
      </c>
      <c r="C122" s="124">
        <v>137</v>
      </c>
      <c r="D122" s="124">
        <v>39900.794037233201</v>
      </c>
      <c r="E122" s="125">
        <v>5812.21648043815</v>
      </c>
      <c r="F122" s="126">
        <v>12.852218928287201</v>
      </c>
      <c r="G122" s="127">
        <v>1.8734351147328501</v>
      </c>
    </row>
    <row r="123" spans="1:7" x14ac:dyDescent="0.3">
      <c r="A123" s="6" t="s">
        <v>1025</v>
      </c>
      <c r="B123" s="6" t="s">
        <v>3044</v>
      </c>
      <c r="C123" s="120">
        <v>108</v>
      </c>
      <c r="D123" s="120">
        <v>37280.422249342999</v>
      </c>
      <c r="E123" s="121">
        <v>3638.9414754448499</v>
      </c>
      <c r="F123" s="122">
        <v>12.008185803030401</v>
      </c>
      <c r="G123" s="123">
        <v>1.1847035933690899</v>
      </c>
    </row>
    <row r="124" spans="1:7" x14ac:dyDescent="0.3">
      <c r="A124" s="11" t="s">
        <v>1042</v>
      </c>
      <c r="B124" s="11" t="s">
        <v>3049</v>
      </c>
      <c r="C124" s="124">
        <v>85</v>
      </c>
      <c r="D124" s="124">
        <v>24430.023945475601</v>
      </c>
      <c r="E124" s="125">
        <v>3058.1132563005799</v>
      </c>
      <c r="F124" s="126">
        <v>7.8690167388037997</v>
      </c>
      <c r="G124" s="127">
        <v>0.99208340031731501</v>
      </c>
    </row>
    <row r="125" spans="1:7" x14ac:dyDescent="0.3">
      <c r="A125" s="6" t="s">
        <v>1021</v>
      </c>
      <c r="B125" s="6" t="s">
        <v>3042</v>
      </c>
      <c r="C125" s="120">
        <v>59</v>
      </c>
      <c r="D125" s="120">
        <v>24338.0143853523</v>
      </c>
      <c r="E125" s="121">
        <v>3348.9932500936502</v>
      </c>
      <c r="F125" s="122">
        <v>7.83938006016787</v>
      </c>
      <c r="G125" s="123">
        <v>1.0923709578432901</v>
      </c>
    </row>
    <row r="126" spans="1:7" x14ac:dyDescent="0.3">
      <c r="A126" s="11" t="s">
        <v>1027</v>
      </c>
      <c r="B126" s="11" t="s">
        <v>3045</v>
      </c>
      <c r="C126" s="124">
        <v>82</v>
      </c>
      <c r="D126" s="124">
        <v>21636.229967334701</v>
      </c>
      <c r="E126" s="125">
        <v>4924.4196955003999</v>
      </c>
      <c r="F126" s="126">
        <v>6.96912357341738</v>
      </c>
      <c r="G126" s="127">
        <v>1.57111193818985</v>
      </c>
    </row>
    <row r="127" spans="1:7" x14ac:dyDescent="0.3">
      <c r="A127" s="6" t="s">
        <v>1023</v>
      </c>
      <c r="B127" s="6" t="s">
        <v>3043</v>
      </c>
      <c r="C127" s="120">
        <v>55</v>
      </c>
      <c r="D127" s="120">
        <v>20507.8064757627</v>
      </c>
      <c r="E127" s="121">
        <v>3663.8667472694901</v>
      </c>
      <c r="F127" s="122">
        <v>6.6056534694396998</v>
      </c>
      <c r="G127" s="123">
        <v>1.1736902577472901</v>
      </c>
    </row>
    <row r="128" spans="1:7" x14ac:dyDescent="0.3">
      <c r="A128" s="11" t="s">
        <v>1061</v>
      </c>
      <c r="B128" s="11" t="s">
        <v>3050</v>
      </c>
      <c r="C128" s="124">
        <v>53</v>
      </c>
      <c r="D128" s="124">
        <v>17761.864675465</v>
      </c>
      <c r="E128" s="125">
        <v>2661.22253682479</v>
      </c>
      <c r="F128" s="126">
        <v>5.7211736982143604</v>
      </c>
      <c r="G128" s="127">
        <v>0.847772691353051</v>
      </c>
    </row>
    <row r="129" spans="1:7" x14ac:dyDescent="0.3">
      <c r="A129" s="6" t="s">
        <v>1063</v>
      </c>
      <c r="B129" s="6" t="s">
        <v>3051</v>
      </c>
      <c r="C129" s="120">
        <v>47</v>
      </c>
      <c r="D129" s="120">
        <v>16233.260226378799</v>
      </c>
      <c r="E129" s="121">
        <v>1801.54656171532</v>
      </c>
      <c r="F129" s="122">
        <v>5.2288035710415199</v>
      </c>
      <c r="G129" s="123">
        <v>0.58466351227365598</v>
      </c>
    </row>
    <row r="130" spans="1:7" x14ac:dyDescent="0.3">
      <c r="A130" s="11" t="s">
        <v>1065</v>
      </c>
      <c r="B130" s="11" t="s">
        <v>3052</v>
      </c>
      <c r="C130" s="124">
        <v>29</v>
      </c>
      <c r="D130" s="124">
        <v>9589.4323964151208</v>
      </c>
      <c r="E130" s="125">
        <v>2412.6434872633899</v>
      </c>
      <c r="F130" s="126">
        <v>3.0887977928893098</v>
      </c>
      <c r="G130" s="127">
        <v>0.78373343782454696</v>
      </c>
    </row>
    <row r="131" spans="1:7" x14ac:dyDescent="0.3">
      <c r="A131" s="6" t="s">
        <v>1017</v>
      </c>
      <c r="B131" s="6" t="s">
        <v>1018</v>
      </c>
      <c r="C131" s="120">
        <v>32</v>
      </c>
      <c r="D131" s="120">
        <v>6496.20617048849</v>
      </c>
      <c r="E131" s="121">
        <v>1641.34365618477</v>
      </c>
      <c r="F131" s="122">
        <v>80.452419972065201</v>
      </c>
      <c r="G131" s="123">
        <v>10.592973952937999</v>
      </c>
    </row>
    <row r="132" spans="1:7" x14ac:dyDescent="0.3">
      <c r="A132" s="11" t="s">
        <v>1015</v>
      </c>
      <c r="B132" s="11" t="s">
        <v>1016</v>
      </c>
      <c r="C132" s="124">
        <v>7</v>
      </c>
      <c r="D132" s="124">
        <v>1361.79216586303</v>
      </c>
      <c r="E132" s="125">
        <v>771.61093637154295</v>
      </c>
      <c r="F132" s="126">
        <v>16.865147497996102</v>
      </c>
      <c r="G132" s="127">
        <v>10.807942008745499</v>
      </c>
    </row>
    <row r="133" spans="1:7" x14ac:dyDescent="0.3">
      <c r="A133" s="6" t="s">
        <v>1044</v>
      </c>
      <c r="B133" s="6" t="s">
        <v>1045</v>
      </c>
      <c r="C133" s="120">
        <v>1</v>
      </c>
      <c r="D133" s="120">
        <v>216.595532601222</v>
      </c>
      <c r="E133" s="121">
        <v>219.317570641218</v>
      </c>
      <c r="F133" s="122">
        <v>2.6824325299386702</v>
      </c>
      <c r="G133" s="123">
        <v>2.7805473576876798</v>
      </c>
    </row>
    <row r="134" spans="1:7" x14ac:dyDescent="0.3">
      <c r="A134" s="11" t="s">
        <v>6354</v>
      </c>
      <c r="B134" s="11" t="s">
        <v>6355</v>
      </c>
      <c r="C134" s="124">
        <v>1009</v>
      </c>
      <c r="D134" s="124">
        <v>310458.406131047</v>
      </c>
      <c r="E134" s="125">
        <v>1167.4053123981</v>
      </c>
      <c r="F134" s="126">
        <v>97.465068338617101</v>
      </c>
      <c r="G134" s="127">
        <v>0.36649430746519401</v>
      </c>
    </row>
    <row r="135" spans="1:7" x14ac:dyDescent="0.3">
      <c r="A135" s="6" t="s">
        <v>6354</v>
      </c>
      <c r="B135" s="6" t="s">
        <v>6356</v>
      </c>
      <c r="C135" s="120">
        <v>1049</v>
      </c>
      <c r="D135" s="120">
        <v>318533</v>
      </c>
      <c r="E135" s="121">
        <v>0</v>
      </c>
      <c r="F135" s="122">
        <v>100</v>
      </c>
      <c r="G135" s="123">
        <v>0</v>
      </c>
    </row>
    <row r="136" spans="1:7" x14ac:dyDescent="0.3">
      <c r="A136" s="3449" t="s">
        <v>382</v>
      </c>
      <c r="B136" s="3450"/>
      <c r="C136" s="3450"/>
      <c r="D136" s="3450"/>
      <c r="E136" s="3450"/>
      <c r="F136" s="3450"/>
      <c r="G136" s="3450"/>
    </row>
    <row r="137" spans="1:7" x14ac:dyDescent="0.3">
      <c r="A137" s="11" t="s">
        <v>1023</v>
      </c>
      <c r="B137" s="11" t="s">
        <v>1198</v>
      </c>
      <c r="C137" s="132">
        <v>545</v>
      </c>
      <c r="D137" s="132">
        <v>191337.21879635699</v>
      </c>
      <c r="E137" s="133">
        <v>9371.4744526518207</v>
      </c>
      <c r="F137" s="134">
        <v>62.169534372069897</v>
      </c>
      <c r="G137" s="135">
        <v>3.0604554113198201</v>
      </c>
    </row>
    <row r="138" spans="1:7" x14ac:dyDescent="0.3">
      <c r="A138" s="6" t="s">
        <v>1021</v>
      </c>
      <c r="B138" s="6" t="s">
        <v>3180</v>
      </c>
      <c r="C138" s="128">
        <v>480</v>
      </c>
      <c r="D138" s="128">
        <v>116429.633133479</v>
      </c>
      <c r="E138" s="129">
        <v>9573.9173116875099</v>
      </c>
      <c r="F138" s="130">
        <v>37.830465627930103</v>
      </c>
      <c r="G138" s="131">
        <v>3.0604554113198201</v>
      </c>
    </row>
    <row r="139" spans="1:7" x14ac:dyDescent="0.3">
      <c r="A139" s="11" t="s">
        <v>1019</v>
      </c>
      <c r="B139" s="11" t="s">
        <v>1020</v>
      </c>
      <c r="C139" s="132">
        <v>24</v>
      </c>
      <c r="D139" s="132">
        <v>10766.148070163399</v>
      </c>
      <c r="E139" s="133">
        <v>2215.6350316555499</v>
      </c>
      <c r="F139" s="134">
        <v>100</v>
      </c>
      <c r="G139" s="135">
        <v>0</v>
      </c>
    </row>
    <row r="140" spans="1:7" x14ac:dyDescent="0.3">
      <c r="A140" s="6" t="s">
        <v>6354</v>
      </c>
      <c r="B140" s="6" t="s">
        <v>6355</v>
      </c>
      <c r="C140" s="128">
        <v>1025</v>
      </c>
      <c r="D140" s="128">
        <v>307766.85192983598</v>
      </c>
      <c r="E140" s="129">
        <v>2215.63503165565</v>
      </c>
      <c r="F140" s="130">
        <v>96.620083925319094</v>
      </c>
      <c r="G140" s="131">
        <v>0.69557472276202703</v>
      </c>
    </row>
    <row r="141" spans="1:7" x14ac:dyDescent="0.3">
      <c r="A141" s="11" t="s">
        <v>6354</v>
      </c>
      <c r="B141" s="11" t="s">
        <v>6356</v>
      </c>
      <c r="C141" s="132">
        <v>1049</v>
      </c>
      <c r="D141" s="132">
        <v>318533</v>
      </c>
      <c r="E141" s="133">
        <v>0</v>
      </c>
      <c r="F141" s="134">
        <v>100</v>
      </c>
      <c r="G141" s="135">
        <v>0</v>
      </c>
    </row>
    <row r="142" spans="1:7" x14ac:dyDescent="0.3">
      <c r="A142" s="3449" t="s">
        <v>522</v>
      </c>
      <c r="B142" s="3450"/>
      <c r="C142" s="3450"/>
      <c r="D142" s="3450"/>
      <c r="E142" s="3450"/>
      <c r="F142" s="3450"/>
      <c r="G142" s="3450"/>
    </row>
    <row r="143" spans="1:7" x14ac:dyDescent="0.3">
      <c r="A143" s="11" t="s">
        <v>1021</v>
      </c>
      <c r="B143" s="11" t="s">
        <v>1108</v>
      </c>
      <c r="C143" s="140">
        <v>686</v>
      </c>
      <c r="D143" s="140">
        <v>217496.21355982</v>
      </c>
      <c r="E143" s="141">
        <v>6474.3487454013602</v>
      </c>
      <c r="F143" s="142">
        <v>69.387095561831401</v>
      </c>
      <c r="G143" s="143">
        <v>2.28681656574734</v>
      </c>
    </row>
    <row r="144" spans="1:7" x14ac:dyDescent="0.3">
      <c r="A144" s="6" t="s">
        <v>1023</v>
      </c>
      <c r="B144" s="6" t="s">
        <v>1088</v>
      </c>
      <c r="C144" s="136">
        <v>133</v>
      </c>
      <c r="D144" s="136">
        <v>39660.455183312602</v>
      </c>
      <c r="E144" s="137">
        <v>5569.6411393919097</v>
      </c>
      <c r="F144" s="138">
        <v>12.6527434606274</v>
      </c>
      <c r="G144" s="139">
        <v>1.70102108019925</v>
      </c>
    </row>
    <row r="145" spans="1:7" x14ac:dyDescent="0.3">
      <c r="A145" s="11" t="s">
        <v>1029</v>
      </c>
      <c r="B145" s="11" t="s">
        <v>6051</v>
      </c>
      <c r="C145" s="140">
        <v>119</v>
      </c>
      <c r="D145" s="140">
        <v>23729.543763374098</v>
      </c>
      <c r="E145" s="141">
        <v>4415.8618303415897</v>
      </c>
      <c r="F145" s="142">
        <v>7.5703576342722503</v>
      </c>
      <c r="G145" s="143">
        <v>1.4052223973241</v>
      </c>
    </row>
    <row r="146" spans="1:7" x14ac:dyDescent="0.3">
      <c r="A146" s="6" t="s">
        <v>1025</v>
      </c>
      <c r="B146" s="6" t="s">
        <v>1089</v>
      </c>
      <c r="C146" s="136">
        <v>60</v>
      </c>
      <c r="D146" s="136">
        <v>20024.441904551401</v>
      </c>
      <c r="E146" s="137">
        <v>2893.86200186527</v>
      </c>
      <c r="F146" s="138">
        <v>6.3883312783341601</v>
      </c>
      <c r="G146" s="139">
        <v>0.90237110510180196</v>
      </c>
    </row>
    <row r="147" spans="1:7" x14ac:dyDescent="0.3">
      <c r="A147" s="11" t="s">
        <v>1027</v>
      </c>
      <c r="B147" s="11" t="s">
        <v>1090</v>
      </c>
      <c r="C147" s="140">
        <v>33</v>
      </c>
      <c r="D147" s="140">
        <v>12542.7504313563</v>
      </c>
      <c r="E147" s="141">
        <v>3145.6915851148801</v>
      </c>
      <c r="F147" s="142">
        <v>4.0014720649348297</v>
      </c>
      <c r="G147" s="143">
        <v>1.0142650271159701</v>
      </c>
    </row>
    <row r="148" spans="1:7" x14ac:dyDescent="0.3">
      <c r="A148" s="6" t="s">
        <v>1019</v>
      </c>
      <c r="B148" s="6" t="s">
        <v>1020</v>
      </c>
      <c r="C148" s="136">
        <v>18</v>
      </c>
      <c r="D148" s="136">
        <v>5079.5951575851004</v>
      </c>
      <c r="E148" s="137">
        <v>2445.0224383705099</v>
      </c>
      <c r="F148" s="138">
        <v>100</v>
      </c>
      <c r="G148" s="139">
        <v>0</v>
      </c>
    </row>
    <row r="149" spans="1:7" x14ac:dyDescent="0.3">
      <c r="A149" s="11" t="s">
        <v>6354</v>
      </c>
      <c r="B149" s="11" t="s">
        <v>6355</v>
      </c>
      <c r="C149" s="140">
        <v>1031</v>
      </c>
      <c r="D149" s="140">
        <v>313453.40484241501</v>
      </c>
      <c r="E149" s="141">
        <v>2445.02243837069</v>
      </c>
      <c r="F149" s="142">
        <v>98.405315883257003</v>
      </c>
      <c r="G149" s="143">
        <v>0.76758842517744397</v>
      </c>
    </row>
    <row r="150" spans="1:7" x14ac:dyDescent="0.3">
      <c r="A150" s="6" t="s">
        <v>6354</v>
      </c>
      <c r="B150" s="6" t="s">
        <v>6356</v>
      </c>
      <c r="C150" s="136">
        <v>1049</v>
      </c>
      <c r="D150" s="136">
        <v>318533</v>
      </c>
      <c r="E150" s="137">
        <v>0</v>
      </c>
      <c r="F150" s="138">
        <v>100</v>
      </c>
      <c r="G150" s="139">
        <v>0</v>
      </c>
    </row>
    <row r="151" spans="1:7" x14ac:dyDescent="0.3">
      <c r="A151" s="3449" t="s">
        <v>649</v>
      </c>
      <c r="B151" s="3450"/>
      <c r="C151" s="3450"/>
      <c r="D151" s="3450"/>
      <c r="E151" s="3450"/>
      <c r="F151" s="3450"/>
      <c r="G151" s="3450"/>
    </row>
    <row r="152" spans="1:7" x14ac:dyDescent="0.3">
      <c r="A152" s="11" t="s">
        <v>1021</v>
      </c>
      <c r="B152" s="11" t="s">
        <v>1087</v>
      </c>
      <c r="C152" s="148">
        <v>738</v>
      </c>
      <c r="D152" s="148">
        <v>248796.19533931001</v>
      </c>
      <c r="E152" s="149">
        <v>6203.0865975963998</v>
      </c>
      <c r="F152" s="150">
        <v>79.354830555903504</v>
      </c>
      <c r="G152" s="151">
        <v>1.8882830279981</v>
      </c>
    </row>
    <row r="153" spans="1:7" x14ac:dyDescent="0.3">
      <c r="A153" s="6" t="s">
        <v>1029</v>
      </c>
      <c r="B153" s="6" t="s">
        <v>1091</v>
      </c>
      <c r="C153" s="144">
        <v>186</v>
      </c>
      <c r="D153" s="144">
        <v>36736.529194756899</v>
      </c>
      <c r="E153" s="145">
        <v>4486.2345987899298</v>
      </c>
      <c r="F153" s="146">
        <v>11.7173055861491</v>
      </c>
      <c r="G153" s="147">
        <v>1.45520513503937</v>
      </c>
    </row>
    <row r="154" spans="1:7" x14ac:dyDescent="0.3">
      <c r="A154" s="11" t="s">
        <v>1023</v>
      </c>
      <c r="B154" s="11" t="s">
        <v>1109</v>
      </c>
      <c r="C154" s="148">
        <v>53</v>
      </c>
      <c r="D154" s="148">
        <v>12882.1986473942</v>
      </c>
      <c r="E154" s="149">
        <v>3013.2819101985201</v>
      </c>
      <c r="F154" s="150">
        <v>4.1088437444040702</v>
      </c>
      <c r="G154" s="151">
        <v>0.95337184076152004</v>
      </c>
    </row>
    <row r="155" spans="1:7" x14ac:dyDescent="0.3">
      <c r="A155" s="6" t="s">
        <v>1025</v>
      </c>
      <c r="B155" s="6" t="s">
        <v>1089</v>
      </c>
      <c r="C155" s="144">
        <v>38</v>
      </c>
      <c r="D155" s="144">
        <v>11111.7534122364</v>
      </c>
      <c r="E155" s="145">
        <v>2856.0472370165699</v>
      </c>
      <c r="F155" s="146">
        <v>3.5441510992739902</v>
      </c>
      <c r="G155" s="147">
        <v>0.898626128569877</v>
      </c>
    </row>
    <row r="156" spans="1:7" x14ac:dyDescent="0.3">
      <c r="A156" s="11" t="s">
        <v>1027</v>
      </c>
      <c r="B156" s="11" t="s">
        <v>1090</v>
      </c>
      <c r="C156" s="148">
        <v>17</v>
      </c>
      <c r="D156" s="148">
        <v>3997.0164145552399</v>
      </c>
      <c r="E156" s="149">
        <v>1592.26136094295</v>
      </c>
      <c r="F156" s="150">
        <v>1.2748690142693699</v>
      </c>
      <c r="G156" s="151">
        <v>0.51281543127362195</v>
      </c>
    </row>
    <row r="157" spans="1:7" x14ac:dyDescent="0.3">
      <c r="A157" s="6" t="s">
        <v>1019</v>
      </c>
      <c r="B157" s="6" t="s">
        <v>1020</v>
      </c>
      <c r="C157" s="144">
        <v>17</v>
      </c>
      <c r="D157" s="144">
        <v>5009.3069917471403</v>
      </c>
      <c r="E157" s="145">
        <v>2234.4588921315499</v>
      </c>
      <c r="F157" s="146">
        <v>100</v>
      </c>
      <c r="G157" s="147">
        <v>0</v>
      </c>
    </row>
    <row r="158" spans="1:7" x14ac:dyDescent="0.3">
      <c r="A158" s="11" t="s">
        <v>6354</v>
      </c>
      <c r="B158" s="11" t="s">
        <v>6355</v>
      </c>
      <c r="C158" s="148">
        <v>1032</v>
      </c>
      <c r="D158" s="148">
        <v>313523.693008253</v>
      </c>
      <c r="E158" s="149">
        <v>2234.4588921316199</v>
      </c>
      <c r="F158" s="150">
        <v>98.427382094870197</v>
      </c>
      <c r="G158" s="151">
        <v>0.70148427074481601</v>
      </c>
    </row>
    <row r="159" spans="1:7" x14ac:dyDescent="0.3">
      <c r="A159" s="6" t="s">
        <v>6354</v>
      </c>
      <c r="B159" s="6" t="s">
        <v>6356</v>
      </c>
      <c r="C159" s="144">
        <v>1049</v>
      </c>
      <c r="D159" s="144">
        <v>318533</v>
      </c>
      <c r="E159" s="145">
        <v>0</v>
      </c>
      <c r="F159" s="146">
        <v>100</v>
      </c>
      <c r="G159" s="147">
        <v>0</v>
      </c>
    </row>
    <row r="160" spans="1:7" x14ac:dyDescent="0.3">
      <c r="A160" s="3449" t="s">
        <v>673</v>
      </c>
      <c r="B160" s="3450"/>
      <c r="C160" s="3450"/>
      <c r="D160" s="3450"/>
      <c r="E160" s="3450"/>
      <c r="F160" s="3450"/>
      <c r="G160" s="3450"/>
    </row>
    <row r="161" spans="1:7" x14ac:dyDescent="0.3">
      <c r="A161" s="11" t="s">
        <v>1029</v>
      </c>
      <c r="B161" s="11" t="s">
        <v>6051</v>
      </c>
      <c r="C161" s="156">
        <v>396</v>
      </c>
      <c r="D161" s="156">
        <v>109793.325322006</v>
      </c>
      <c r="E161" s="157">
        <v>7113.6257320463801</v>
      </c>
      <c r="F161" s="158">
        <v>35.769331831473899</v>
      </c>
      <c r="G161" s="159">
        <v>2.15385752502613</v>
      </c>
    </row>
    <row r="162" spans="1:7" x14ac:dyDescent="0.3">
      <c r="A162" s="6" t="s">
        <v>1021</v>
      </c>
      <c r="B162" s="6" t="s">
        <v>1087</v>
      </c>
      <c r="C162" s="152">
        <v>298</v>
      </c>
      <c r="D162" s="152">
        <v>92952.701245841396</v>
      </c>
      <c r="E162" s="153">
        <v>6866.8285398935896</v>
      </c>
      <c r="F162" s="154">
        <v>30.282861055015001</v>
      </c>
      <c r="G162" s="155">
        <v>2.32008749771598</v>
      </c>
    </row>
    <row r="163" spans="1:7" x14ac:dyDescent="0.3">
      <c r="A163" s="11" t="s">
        <v>1023</v>
      </c>
      <c r="B163" s="11" t="s">
        <v>1109</v>
      </c>
      <c r="C163" s="156">
        <v>147</v>
      </c>
      <c r="D163" s="156">
        <v>50883.7286380609</v>
      </c>
      <c r="E163" s="157">
        <v>4156.0715151553304</v>
      </c>
      <c r="F163" s="158">
        <v>16.577300752477299</v>
      </c>
      <c r="G163" s="159">
        <v>1.34591127754166</v>
      </c>
    </row>
    <row r="164" spans="1:7" x14ac:dyDescent="0.3">
      <c r="A164" s="6" t="s">
        <v>1025</v>
      </c>
      <c r="B164" s="6" t="s">
        <v>1089</v>
      </c>
      <c r="C164" s="152">
        <v>104</v>
      </c>
      <c r="D164" s="152">
        <v>31425.702206959999</v>
      </c>
      <c r="E164" s="153">
        <v>3280.53942527246</v>
      </c>
      <c r="F164" s="154">
        <v>10.238112079956601</v>
      </c>
      <c r="G164" s="155">
        <v>1.01516430025797</v>
      </c>
    </row>
    <row r="165" spans="1:7" x14ac:dyDescent="0.3">
      <c r="A165" s="11" t="s">
        <v>1027</v>
      </c>
      <c r="B165" s="11" t="s">
        <v>1090</v>
      </c>
      <c r="C165" s="156">
        <v>59</v>
      </c>
      <c r="D165" s="156">
        <v>21892.756882254002</v>
      </c>
      <c r="E165" s="157">
        <v>4169.6328582903998</v>
      </c>
      <c r="F165" s="158">
        <v>7.1323942810772296</v>
      </c>
      <c r="G165" s="159">
        <v>1.3801983005165399</v>
      </c>
    </row>
    <row r="166" spans="1:7" x14ac:dyDescent="0.3">
      <c r="A166" s="6" t="s">
        <v>1019</v>
      </c>
      <c r="B166" s="6" t="s">
        <v>1020</v>
      </c>
      <c r="C166" s="152">
        <v>44</v>
      </c>
      <c r="D166" s="152">
        <v>10868.3840376889</v>
      </c>
      <c r="E166" s="153">
        <v>2748.3769269925101</v>
      </c>
      <c r="F166" s="154">
        <v>93.816012782290798</v>
      </c>
      <c r="G166" s="155">
        <v>6.2268280066902699</v>
      </c>
    </row>
    <row r="167" spans="1:7" x14ac:dyDescent="0.3">
      <c r="A167" s="11" t="s">
        <v>1015</v>
      </c>
      <c r="B167" s="11" t="s">
        <v>1092</v>
      </c>
      <c r="C167" s="156">
        <v>1</v>
      </c>
      <c r="D167" s="156">
        <v>716.40166718862201</v>
      </c>
      <c r="E167" s="157">
        <v>711.17543118752701</v>
      </c>
      <c r="F167" s="158">
        <v>6.1839872177091699</v>
      </c>
      <c r="G167" s="159">
        <v>6.2268280066902699</v>
      </c>
    </row>
    <row r="168" spans="1:7" x14ac:dyDescent="0.3">
      <c r="A168" s="6" t="s">
        <v>6354</v>
      </c>
      <c r="B168" s="6" t="s">
        <v>6355</v>
      </c>
      <c r="C168" s="152">
        <v>1004</v>
      </c>
      <c r="D168" s="152">
        <v>306948.21429512202</v>
      </c>
      <c r="E168" s="153">
        <v>2831.8725722160698</v>
      </c>
      <c r="F168" s="154">
        <v>96.363081468834494</v>
      </c>
      <c r="G168" s="155">
        <v>0.88903585255404205</v>
      </c>
    </row>
    <row r="169" spans="1:7" x14ac:dyDescent="0.3">
      <c r="A169" s="11" t="s">
        <v>6354</v>
      </c>
      <c r="B169" s="11" t="s">
        <v>6356</v>
      </c>
      <c r="C169" s="156">
        <v>1049</v>
      </c>
      <c r="D169" s="156">
        <v>318533</v>
      </c>
      <c r="E169" s="157">
        <v>0</v>
      </c>
      <c r="F169" s="158">
        <v>100</v>
      </c>
      <c r="G169" s="159">
        <v>0</v>
      </c>
    </row>
    <row r="170" spans="1:7" x14ac:dyDescent="0.3">
      <c r="A170" s="3449" t="s">
        <v>468</v>
      </c>
      <c r="B170" s="3450"/>
      <c r="C170" s="3450"/>
      <c r="D170" s="3450"/>
      <c r="E170" s="3450"/>
      <c r="F170" s="3450"/>
      <c r="G170" s="3450"/>
    </row>
    <row r="171" spans="1:7" x14ac:dyDescent="0.3">
      <c r="A171" s="11" t="s">
        <v>1029</v>
      </c>
      <c r="B171" s="11" t="s">
        <v>6051</v>
      </c>
      <c r="C171" s="164">
        <v>323</v>
      </c>
      <c r="D171" s="164">
        <v>106532.87857512099</v>
      </c>
      <c r="E171" s="165">
        <v>5499.0506161707899</v>
      </c>
      <c r="F171" s="166">
        <v>92.511905279179402</v>
      </c>
      <c r="G171" s="167">
        <v>2.1083981157552301</v>
      </c>
    </row>
    <row r="172" spans="1:7" x14ac:dyDescent="0.3">
      <c r="A172" s="6" t="s">
        <v>1023</v>
      </c>
      <c r="B172" s="6" t="s">
        <v>1109</v>
      </c>
      <c r="C172" s="160">
        <v>11</v>
      </c>
      <c r="D172" s="160">
        <v>3722.3317469950698</v>
      </c>
      <c r="E172" s="161">
        <v>2117.6412863670798</v>
      </c>
      <c r="F172" s="162">
        <v>3.2324293363843402</v>
      </c>
      <c r="G172" s="163">
        <v>1.82737714791396</v>
      </c>
    </row>
    <row r="173" spans="1:7" x14ac:dyDescent="0.3">
      <c r="A173" s="11" t="s">
        <v>1021</v>
      </c>
      <c r="B173" s="11" t="s">
        <v>1087</v>
      </c>
      <c r="C173" s="164">
        <v>18</v>
      </c>
      <c r="D173" s="164">
        <v>3432.1779588485701</v>
      </c>
      <c r="E173" s="165">
        <v>1064.12209632191</v>
      </c>
      <c r="F173" s="166">
        <v>2.9804631816682901</v>
      </c>
      <c r="G173" s="167">
        <v>0.95320718723561304</v>
      </c>
    </row>
    <row r="174" spans="1:7" x14ac:dyDescent="0.3">
      <c r="A174" s="6" t="s">
        <v>1025</v>
      </c>
      <c r="B174" s="6" t="s">
        <v>1089</v>
      </c>
      <c r="C174" s="160">
        <v>7</v>
      </c>
      <c r="D174" s="160">
        <v>1078.0873469395799</v>
      </c>
      <c r="E174" s="161">
        <v>514.83998445051202</v>
      </c>
      <c r="F174" s="162">
        <v>0.93619843804772696</v>
      </c>
      <c r="G174" s="163">
        <v>0.42468618706308497</v>
      </c>
    </row>
    <row r="175" spans="1:7" x14ac:dyDescent="0.3">
      <c r="A175" s="11" t="s">
        <v>1027</v>
      </c>
      <c r="B175" s="11" t="s">
        <v>1090</v>
      </c>
      <c r="C175" s="164">
        <v>2</v>
      </c>
      <c r="D175" s="164">
        <v>390.382695010541</v>
      </c>
      <c r="E175" s="165">
        <v>349.89242752854602</v>
      </c>
      <c r="F175" s="166">
        <v>0.339003764720201</v>
      </c>
      <c r="G175" s="167">
        <v>0.297187986766701</v>
      </c>
    </row>
    <row r="176" spans="1:7" x14ac:dyDescent="0.3">
      <c r="A176" s="6" t="s">
        <v>1019</v>
      </c>
      <c r="B176" s="6" t="s">
        <v>1020</v>
      </c>
      <c r="C176" s="160">
        <v>687</v>
      </c>
      <c r="D176" s="160">
        <v>202915.78384604299</v>
      </c>
      <c r="E176" s="161">
        <v>5728.9798645564397</v>
      </c>
      <c r="F176" s="162">
        <v>99.773151580734293</v>
      </c>
      <c r="G176" s="163">
        <v>0.239833995345621</v>
      </c>
    </row>
    <row r="177" spans="1:7" x14ac:dyDescent="0.3">
      <c r="A177" s="11" t="s">
        <v>1017</v>
      </c>
      <c r="B177" s="11" t="s">
        <v>1018</v>
      </c>
      <c r="C177" s="164">
        <v>1</v>
      </c>
      <c r="D177" s="164">
        <v>461.35783104220098</v>
      </c>
      <c r="E177" s="165">
        <v>485.476109202842</v>
      </c>
      <c r="F177" s="166">
        <v>0.226848419265685</v>
      </c>
      <c r="G177" s="167">
        <v>0.23983399534562</v>
      </c>
    </row>
    <row r="178" spans="1:7" x14ac:dyDescent="0.3">
      <c r="A178" s="6" t="s">
        <v>6354</v>
      </c>
      <c r="B178" s="6" t="s">
        <v>6355</v>
      </c>
      <c r="C178" s="160">
        <v>361</v>
      </c>
      <c r="D178" s="160">
        <v>115155.85832291401</v>
      </c>
      <c r="E178" s="161">
        <v>5479.6102492319596</v>
      </c>
      <c r="F178" s="162">
        <v>36.151939774816</v>
      </c>
      <c r="G178" s="163">
        <v>1.72026454063845</v>
      </c>
    </row>
    <row r="179" spans="1:7" x14ac:dyDescent="0.3">
      <c r="A179" s="11" t="s">
        <v>6354</v>
      </c>
      <c r="B179" s="11" t="s">
        <v>6356</v>
      </c>
      <c r="C179" s="164">
        <v>1049</v>
      </c>
      <c r="D179" s="164">
        <v>318533</v>
      </c>
      <c r="E179" s="165">
        <v>0</v>
      </c>
      <c r="F179" s="166">
        <v>100</v>
      </c>
      <c r="G179" s="167">
        <v>0</v>
      </c>
    </row>
    <row r="180" spans="1:7" x14ac:dyDescent="0.3">
      <c r="A180" s="3449" t="s">
        <v>471</v>
      </c>
      <c r="B180" s="3450"/>
      <c r="C180" s="3450"/>
      <c r="D180" s="3450"/>
      <c r="E180" s="3450"/>
      <c r="F180" s="3450"/>
      <c r="G180" s="3450"/>
    </row>
    <row r="181" spans="1:7" x14ac:dyDescent="0.3">
      <c r="A181" s="11" t="s">
        <v>6372</v>
      </c>
      <c r="B181" s="11"/>
      <c r="C181" s="172">
        <v>7</v>
      </c>
      <c r="D181" s="172">
        <v>2436.5500385247901</v>
      </c>
      <c r="E181" s="173">
        <v>1363.99262361758</v>
      </c>
      <c r="F181" s="174">
        <v>16.423632475331299</v>
      </c>
      <c r="G181" s="175">
        <v>9.1294948665114593</v>
      </c>
    </row>
    <row r="182" spans="1:7" x14ac:dyDescent="0.3">
      <c r="A182" s="6" t="s">
        <v>6373</v>
      </c>
      <c r="B182" s="6"/>
      <c r="C182" s="168">
        <v>14</v>
      </c>
      <c r="D182" s="168">
        <v>1877.5212920444901</v>
      </c>
      <c r="E182" s="169">
        <v>796.944531135391</v>
      </c>
      <c r="F182" s="170">
        <v>12.655483851182201</v>
      </c>
      <c r="G182" s="171">
        <v>5.1556156573595802</v>
      </c>
    </row>
    <row r="183" spans="1:7" x14ac:dyDescent="0.3">
      <c r="A183" s="11" t="s">
        <v>6374</v>
      </c>
      <c r="B183" s="11"/>
      <c r="C183" s="172">
        <v>6</v>
      </c>
      <c r="D183" s="172">
        <v>1802.2297625849101</v>
      </c>
      <c r="E183" s="173">
        <v>1683.8878950626699</v>
      </c>
      <c r="F183" s="174">
        <v>12.1479792283351</v>
      </c>
      <c r="G183" s="175">
        <v>11.1635730538766</v>
      </c>
    </row>
    <row r="184" spans="1:7" x14ac:dyDescent="0.3">
      <c r="A184" s="6" t="s">
        <v>6375</v>
      </c>
      <c r="B184" s="6"/>
      <c r="C184" s="168">
        <v>1</v>
      </c>
      <c r="D184" s="168">
        <v>1650.2540370004201</v>
      </c>
      <c r="E184" s="169">
        <v>1667.2035852117699</v>
      </c>
      <c r="F184" s="170">
        <v>11.1235826747216</v>
      </c>
      <c r="G184" s="171">
        <v>11.1336909629025</v>
      </c>
    </row>
    <row r="185" spans="1:7" x14ac:dyDescent="0.3">
      <c r="A185" s="11" t="s">
        <v>6376</v>
      </c>
      <c r="B185" s="11"/>
      <c r="C185" s="172">
        <v>3</v>
      </c>
      <c r="D185" s="172">
        <v>977.41258433627695</v>
      </c>
      <c r="E185" s="173">
        <v>685.00443655851495</v>
      </c>
      <c r="F185" s="174">
        <v>6.5882763777023898</v>
      </c>
      <c r="G185" s="175">
        <v>4.5874039544862297</v>
      </c>
    </row>
    <row r="186" spans="1:7" x14ac:dyDescent="0.3">
      <c r="A186" s="6" t="s">
        <v>6377</v>
      </c>
      <c r="B186" s="6"/>
      <c r="C186" s="168">
        <v>2</v>
      </c>
      <c r="D186" s="168">
        <v>848.49416520886803</v>
      </c>
      <c r="E186" s="169">
        <v>796.84133281594097</v>
      </c>
      <c r="F186" s="170">
        <v>5.7192982317287502</v>
      </c>
      <c r="G186" s="171">
        <v>5.4109529063825503</v>
      </c>
    </row>
    <row r="187" spans="1:7" x14ac:dyDescent="0.3">
      <c r="A187" s="11" t="s">
        <v>6378</v>
      </c>
      <c r="B187" s="11"/>
      <c r="C187" s="172">
        <v>5</v>
      </c>
      <c r="D187" s="172">
        <v>736.50513177654898</v>
      </c>
      <c r="E187" s="173">
        <v>779.26157806325898</v>
      </c>
      <c r="F187" s="174">
        <v>4.9644330751430203</v>
      </c>
      <c r="G187" s="175">
        <v>5.3235893270902501</v>
      </c>
    </row>
    <row r="188" spans="1:7" x14ac:dyDescent="0.3">
      <c r="A188" s="6" t="s">
        <v>6379</v>
      </c>
      <c r="B188" s="6"/>
      <c r="C188" s="168">
        <v>1</v>
      </c>
      <c r="D188" s="168">
        <v>551.09035268037906</v>
      </c>
      <c r="E188" s="169">
        <v>583.47804651714898</v>
      </c>
      <c r="F188" s="170">
        <v>3.7146396626449301</v>
      </c>
      <c r="G188" s="171">
        <v>4.0632332636385202</v>
      </c>
    </row>
    <row r="189" spans="1:7" x14ac:dyDescent="0.3">
      <c r="A189" s="11" t="s">
        <v>6380</v>
      </c>
      <c r="B189" s="11"/>
      <c r="C189" s="172">
        <v>2</v>
      </c>
      <c r="D189" s="172">
        <v>510.44049694579797</v>
      </c>
      <c r="E189" s="173">
        <v>461.62164239565197</v>
      </c>
      <c r="F189" s="174">
        <v>3.4406381932705501</v>
      </c>
      <c r="G189" s="175">
        <v>3.0336318929597601</v>
      </c>
    </row>
    <row r="190" spans="1:7" x14ac:dyDescent="0.3">
      <c r="A190" s="6" t="s">
        <v>6381</v>
      </c>
      <c r="B190" s="6"/>
      <c r="C190" s="168">
        <v>1</v>
      </c>
      <c r="D190" s="168">
        <v>474.35168648042998</v>
      </c>
      <c r="E190" s="169">
        <v>492.94210416468798</v>
      </c>
      <c r="F190" s="170">
        <v>3.1973805748413602</v>
      </c>
      <c r="G190" s="171">
        <v>3.3473774697639298</v>
      </c>
    </row>
    <row r="191" spans="1:7" x14ac:dyDescent="0.3">
      <c r="A191" s="11" t="s">
        <v>6382</v>
      </c>
      <c r="B191" s="11"/>
      <c r="C191" s="172">
        <v>1</v>
      </c>
      <c r="D191" s="172">
        <v>445.26869837404899</v>
      </c>
      <c r="E191" s="173">
        <v>459.40052899126698</v>
      </c>
      <c r="F191" s="174">
        <v>3.0013458944976699</v>
      </c>
      <c r="G191" s="175">
        <v>3.1872867279950401</v>
      </c>
    </row>
    <row r="192" spans="1:7" x14ac:dyDescent="0.3">
      <c r="A192" s="6" t="s">
        <v>6383</v>
      </c>
      <c r="B192" s="6"/>
      <c r="C192" s="168">
        <v>1</v>
      </c>
      <c r="D192" s="168">
        <v>422.39651183207098</v>
      </c>
      <c r="E192" s="169">
        <v>426.11936421677598</v>
      </c>
      <c r="F192" s="170">
        <v>2.8471752927315301</v>
      </c>
      <c r="G192" s="171">
        <v>2.9465537309590801</v>
      </c>
    </row>
    <row r="193" spans="1:7" x14ac:dyDescent="0.3">
      <c r="A193" s="11" t="s">
        <v>6384</v>
      </c>
      <c r="B193" s="11"/>
      <c r="C193" s="172">
        <v>2</v>
      </c>
      <c r="D193" s="172">
        <v>394.005832480528</v>
      </c>
      <c r="E193" s="173">
        <v>284.83297466225002</v>
      </c>
      <c r="F193" s="174">
        <v>2.65580713856999</v>
      </c>
      <c r="G193" s="175">
        <v>2.0089977087053601</v>
      </c>
    </row>
    <row r="194" spans="1:7" x14ac:dyDescent="0.3">
      <c r="A194" s="6" t="s">
        <v>6385</v>
      </c>
      <c r="B194" s="6"/>
      <c r="C194" s="168">
        <v>1</v>
      </c>
      <c r="D194" s="168">
        <v>320.01875548560997</v>
      </c>
      <c r="E194" s="169">
        <v>328.34086376623998</v>
      </c>
      <c r="F194" s="170">
        <v>2.1570952133988301</v>
      </c>
      <c r="G194" s="171">
        <v>2.1910884909397499</v>
      </c>
    </row>
    <row r="195" spans="1:7" x14ac:dyDescent="0.3">
      <c r="A195" s="11" t="s">
        <v>6386</v>
      </c>
      <c r="B195" s="11"/>
      <c r="C195" s="172">
        <v>2</v>
      </c>
      <c r="D195" s="172">
        <v>252.39950311433901</v>
      </c>
      <c r="E195" s="173">
        <v>222.516265319349</v>
      </c>
      <c r="F195" s="174">
        <v>1.7013057850500499</v>
      </c>
      <c r="G195" s="175">
        <v>1.52744846766586</v>
      </c>
    </row>
    <row r="196" spans="1:7" x14ac:dyDescent="0.3">
      <c r="A196" s="6" t="s">
        <v>6387</v>
      </c>
      <c r="B196" s="6"/>
      <c r="C196" s="168">
        <v>1</v>
      </c>
      <c r="D196" s="168">
        <v>208.850989547182</v>
      </c>
      <c r="E196" s="169">
        <v>218.10712823266601</v>
      </c>
      <c r="F196" s="170">
        <v>1.4077658329187901</v>
      </c>
      <c r="G196" s="171">
        <v>1.4319561333602899</v>
      </c>
    </row>
    <row r="197" spans="1:7" x14ac:dyDescent="0.3">
      <c r="A197" s="11" t="s">
        <v>6388</v>
      </c>
      <c r="B197" s="11"/>
      <c r="C197" s="172">
        <v>1</v>
      </c>
      <c r="D197" s="172">
        <v>197.736615717761</v>
      </c>
      <c r="E197" s="173">
        <v>199.55725110976601</v>
      </c>
      <c r="F197" s="174">
        <v>1.33284909077039</v>
      </c>
      <c r="G197" s="175">
        <v>1.3155501836274099</v>
      </c>
    </row>
    <row r="198" spans="1:7" x14ac:dyDescent="0.3">
      <c r="A198" s="6" t="s">
        <v>6389</v>
      </c>
      <c r="B198" s="6"/>
      <c r="C198" s="168">
        <v>1</v>
      </c>
      <c r="D198" s="168">
        <v>191.82080415654599</v>
      </c>
      <c r="E198" s="169">
        <v>199.21555465234101</v>
      </c>
      <c r="F198" s="170">
        <v>1.2929734004137301</v>
      </c>
      <c r="G198" s="171">
        <v>1.3208638587724599</v>
      </c>
    </row>
    <row r="199" spans="1:7" x14ac:dyDescent="0.3">
      <c r="A199" s="11" t="s">
        <v>6390</v>
      </c>
      <c r="B199" s="11"/>
      <c r="C199" s="172">
        <v>1</v>
      </c>
      <c r="D199" s="172">
        <v>148.971525607519</v>
      </c>
      <c r="E199" s="173">
        <v>156.76543261668499</v>
      </c>
      <c r="F199" s="174">
        <v>1.0041466611326499</v>
      </c>
      <c r="G199" s="175">
        <v>1.03128587064712</v>
      </c>
    </row>
    <row r="200" spans="1:7" x14ac:dyDescent="0.3">
      <c r="A200" s="6" t="s">
        <v>6391</v>
      </c>
      <c r="B200" s="6"/>
      <c r="C200" s="168">
        <v>1</v>
      </c>
      <c r="D200" s="168">
        <v>146.07493084461399</v>
      </c>
      <c r="E200" s="169">
        <v>152.91880361762099</v>
      </c>
      <c r="F200" s="170">
        <v>0.98462208455357403</v>
      </c>
      <c r="G200" s="171">
        <v>1.05278151232553</v>
      </c>
    </row>
    <row r="201" spans="1:7" x14ac:dyDescent="0.3">
      <c r="A201" s="11" t="s">
        <v>6392</v>
      </c>
      <c r="B201" s="11"/>
      <c r="C201" s="172">
        <v>1</v>
      </c>
      <c r="D201" s="172">
        <v>62.969587065922603</v>
      </c>
      <c r="E201" s="173">
        <v>69.941245495949801</v>
      </c>
      <c r="F201" s="174">
        <v>0.42444823161531903</v>
      </c>
      <c r="G201" s="175">
        <v>0.49761154284345099</v>
      </c>
    </row>
    <row r="202" spans="1:7" x14ac:dyDescent="0.3">
      <c r="A202" s="6" t="s">
        <v>6393</v>
      </c>
      <c r="B202" s="6"/>
      <c r="C202" s="168">
        <v>1</v>
      </c>
      <c r="D202" s="168">
        <v>59.3954092509248</v>
      </c>
      <c r="E202" s="169">
        <v>64.197227249463396</v>
      </c>
      <c r="F202" s="170">
        <v>0.40035638785800998</v>
      </c>
      <c r="G202" s="171">
        <v>0.42378169273304001</v>
      </c>
    </row>
    <row r="203" spans="1:7" x14ac:dyDescent="0.3">
      <c r="A203" s="11" t="s">
        <v>6394</v>
      </c>
      <c r="B203" s="11"/>
      <c r="C203" s="172">
        <v>1</v>
      </c>
      <c r="D203" s="172">
        <v>54.821726032912501</v>
      </c>
      <c r="E203" s="173">
        <v>54.489862627881003</v>
      </c>
      <c r="F203" s="174">
        <v>0.36952735047172902</v>
      </c>
      <c r="G203" s="175">
        <v>0.36425425263323502</v>
      </c>
    </row>
    <row r="204" spans="1:7" x14ac:dyDescent="0.3">
      <c r="A204" s="6" t="s">
        <v>6395</v>
      </c>
      <c r="B204" s="6"/>
      <c r="C204" s="168">
        <v>1</v>
      </c>
      <c r="D204" s="168">
        <v>33.083926150208796</v>
      </c>
      <c r="E204" s="169">
        <v>34.5165452345706</v>
      </c>
      <c r="F204" s="170">
        <v>0.22300311314804999</v>
      </c>
      <c r="G204" s="171">
        <v>0.23449678760734399</v>
      </c>
    </row>
    <row r="205" spans="1:7" x14ac:dyDescent="0.3">
      <c r="A205" s="11" t="s">
        <v>6396</v>
      </c>
      <c r="B205" s="11"/>
      <c r="C205" s="172">
        <v>1</v>
      </c>
      <c r="D205" s="172">
        <v>32.969849739653597</v>
      </c>
      <c r="E205" s="173">
        <v>33.8873781131879</v>
      </c>
      <c r="F205" s="174">
        <v>0.22223417796861999</v>
      </c>
      <c r="G205" s="175">
        <v>0.23440531616471999</v>
      </c>
    </row>
    <row r="206" spans="1:7" x14ac:dyDescent="0.3">
      <c r="A206" s="6" t="s">
        <v>1019</v>
      </c>
      <c r="B206" s="6" t="s">
        <v>1020</v>
      </c>
      <c r="C206" s="168">
        <v>982</v>
      </c>
      <c r="D206" s="168">
        <v>303291.87470029102</v>
      </c>
      <c r="E206" s="169">
        <v>2030.4966937052</v>
      </c>
      <c r="F206" s="170">
        <v>99.866481855818805</v>
      </c>
      <c r="G206" s="171">
        <v>0.111520402280292</v>
      </c>
    </row>
    <row r="207" spans="1:7" x14ac:dyDescent="0.3">
      <c r="A207" s="11" t="s">
        <v>1044</v>
      </c>
      <c r="B207" s="11" t="s">
        <v>1045</v>
      </c>
      <c r="C207" s="172">
        <v>4</v>
      </c>
      <c r="D207" s="172">
        <v>405.49108672596401</v>
      </c>
      <c r="E207" s="173">
        <v>337.71626538161399</v>
      </c>
      <c r="F207" s="174">
        <v>0.13351814418118299</v>
      </c>
      <c r="G207" s="175">
        <v>0.111520402280291</v>
      </c>
    </row>
    <row r="208" spans="1:7" x14ac:dyDescent="0.3">
      <c r="A208" s="6" t="s">
        <v>6354</v>
      </c>
      <c r="B208" s="6" t="s">
        <v>6355</v>
      </c>
      <c r="C208" s="168">
        <v>59</v>
      </c>
      <c r="D208" s="168">
        <v>14835.634212982801</v>
      </c>
      <c r="E208" s="169">
        <v>1839.0455190289399</v>
      </c>
      <c r="F208" s="170">
        <v>4.65748736017391</v>
      </c>
      <c r="G208" s="171">
        <v>0.57734850675720994</v>
      </c>
    </row>
    <row r="209" spans="1:7" x14ac:dyDescent="0.3">
      <c r="A209" s="11" t="s">
        <v>6354</v>
      </c>
      <c r="B209" s="11" t="s">
        <v>6356</v>
      </c>
      <c r="C209" s="172">
        <v>1045</v>
      </c>
      <c r="D209" s="172">
        <v>318533</v>
      </c>
      <c r="E209" s="173">
        <v>0</v>
      </c>
      <c r="F209" s="174">
        <v>100</v>
      </c>
      <c r="G209" s="175">
        <v>0</v>
      </c>
    </row>
    <row r="210" spans="1:7" x14ac:dyDescent="0.3">
      <c r="A210" s="3449" t="s">
        <v>888</v>
      </c>
      <c r="B210" s="3450"/>
      <c r="C210" s="3450"/>
      <c r="D210" s="3450"/>
      <c r="E210" s="3450"/>
      <c r="F210" s="3450"/>
      <c r="G210" s="3450"/>
    </row>
    <row r="211" spans="1:7" x14ac:dyDescent="0.3">
      <c r="A211" s="11" t="s">
        <v>1029</v>
      </c>
      <c r="B211" s="11" t="s">
        <v>1091</v>
      </c>
      <c r="C211" s="180">
        <v>375</v>
      </c>
      <c r="D211" s="180">
        <v>101109.354303614</v>
      </c>
      <c r="E211" s="181">
        <v>3981.4370408219002</v>
      </c>
      <c r="F211" s="182">
        <v>34.107960067360303</v>
      </c>
      <c r="G211" s="183">
        <v>1.1344222720808901</v>
      </c>
    </row>
    <row r="212" spans="1:7" x14ac:dyDescent="0.3">
      <c r="A212" s="6" t="s">
        <v>1027</v>
      </c>
      <c r="B212" s="6" t="s">
        <v>1090</v>
      </c>
      <c r="C212" s="176">
        <v>207</v>
      </c>
      <c r="D212" s="176">
        <v>73319.148134069503</v>
      </c>
      <c r="E212" s="177">
        <v>6953.7046093574099</v>
      </c>
      <c r="F212" s="178">
        <v>24.733285994689901</v>
      </c>
      <c r="G212" s="179">
        <v>2.3622070120360901</v>
      </c>
    </row>
    <row r="213" spans="1:7" x14ac:dyDescent="0.3">
      <c r="A213" s="11" t="s">
        <v>1025</v>
      </c>
      <c r="B213" s="11" t="s">
        <v>1089</v>
      </c>
      <c r="C213" s="180">
        <v>130</v>
      </c>
      <c r="D213" s="180">
        <v>42336.893454528203</v>
      </c>
      <c r="E213" s="181">
        <v>4692.1907885184501</v>
      </c>
      <c r="F213" s="182">
        <v>14.2818147862657</v>
      </c>
      <c r="G213" s="183">
        <v>1.4949644678452301</v>
      </c>
    </row>
    <row r="214" spans="1:7" x14ac:dyDescent="0.3">
      <c r="A214" s="6" t="s">
        <v>1021</v>
      </c>
      <c r="B214" s="6" t="s">
        <v>1087</v>
      </c>
      <c r="C214" s="176">
        <v>127</v>
      </c>
      <c r="D214" s="176">
        <v>41352.782534975697</v>
      </c>
      <c r="E214" s="177">
        <v>4828.8951162530602</v>
      </c>
      <c r="F214" s="178">
        <v>13.949837431874201</v>
      </c>
      <c r="G214" s="179">
        <v>1.7291958571764801</v>
      </c>
    </row>
    <row r="215" spans="1:7" x14ac:dyDescent="0.3">
      <c r="A215" s="11" t="s">
        <v>1023</v>
      </c>
      <c r="B215" s="11" t="s">
        <v>1109</v>
      </c>
      <c r="C215" s="180">
        <v>110</v>
      </c>
      <c r="D215" s="180">
        <v>38320.993261567397</v>
      </c>
      <c r="E215" s="181">
        <v>4014.6545751395302</v>
      </c>
      <c r="F215" s="182">
        <v>12.927101719809899</v>
      </c>
      <c r="G215" s="183">
        <v>1.3288794110853499</v>
      </c>
    </row>
    <row r="216" spans="1:7" x14ac:dyDescent="0.3">
      <c r="A216" s="6" t="s">
        <v>1019</v>
      </c>
      <c r="B216" s="6" t="s">
        <v>1020</v>
      </c>
      <c r="C216" s="176">
        <v>100</v>
      </c>
      <c r="D216" s="176">
        <v>22093.828311245099</v>
      </c>
      <c r="E216" s="177">
        <v>3292.5342476556698</v>
      </c>
      <c r="F216" s="178">
        <v>100</v>
      </c>
      <c r="G216" s="179">
        <v>0</v>
      </c>
    </row>
    <row r="217" spans="1:7" x14ac:dyDescent="0.3">
      <c r="A217" s="11" t="s">
        <v>6354</v>
      </c>
      <c r="B217" s="11" t="s">
        <v>6355</v>
      </c>
      <c r="C217" s="180">
        <v>949</v>
      </c>
      <c r="D217" s="180">
        <v>296439.17168875498</v>
      </c>
      <c r="E217" s="181">
        <v>3292.5342476555502</v>
      </c>
      <c r="F217" s="182">
        <v>93.063880881652693</v>
      </c>
      <c r="G217" s="183">
        <v>1.0336556173632401</v>
      </c>
    </row>
    <row r="218" spans="1:7" x14ac:dyDescent="0.3">
      <c r="A218" s="6" t="s">
        <v>6354</v>
      </c>
      <c r="B218" s="6" t="s">
        <v>6356</v>
      </c>
      <c r="C218" s="176">
        <v>1049</v>
      </c>
      <c r="D218" s="176">
        <v>318533</v>
      </c>
      <c r="E218" s="177">
        <v>0</v>
      </c>
      <c r="F218" s="178">
        <v>100</v>
      </c>
      <c r="G218" s="179">
        <v>0</v>
      </c>
    </row>
    <row r="219" spans="1:7" x14ac:dyDescent="0.3">
      <c r="A219" s="3449" t="s">
        <v>50</v>
      </c>
      <c r="B219" s="3450"/>
      <c r="C219" s="3450"/>
      <c r="D219" s="3450"/>
      <c r="E219" s="3450"/>
      <c r="F219" s="3450"/>
      <c r="G219" s="3450"/>
    </row>
    <row r="220" spans="1:7" x14ac:dyDescent="0.3">
      <c r="A220" s="11" t="s">
        <v>1029</v>
      </c>
      <c r="B220" s="11" t="s">
        <v>1091</v>
      </c>
      <c r="C220" s="188">
        <v>732</v>
      </c>
      <c r="D220" s="188">
        <v>216628.668390737</v>
      </c>
      <c r="E220" s="189">
        <v>6643.8409631429504</v>
      </c>
      <c r="F220" s="190">
        <v>74.687209429856495</v>
      </c>
      <c r="G220" s="191">
        <v>1.9400121112887001</v>
      </c>
    </row>
    <row r="221" spans="1:7" x14ac:dyDescent="0.3">
      <c r="A221" s="6" t="s">
        <v>1027</v>
      </c>
      <c r="B221" s="6" t="s">
        <v>1090</v>
      </c>
      <c r="C221" s="184">
        <v>128</v>
      </c>
      <c r="D221" s="184">
        <v>45660.639475608099</v>
      </c>
      <c r="E221" s="185">
        <v>5456.12880343494</v>
      </c>
      <c r="F221" s="186">
        <v>15.7424489036915</v>
      </c>
      <c r="G221" s="187">
        <v>1.9220532332736</v>
      </c>
    </row>
    <row r="222" spans="1:7" x14ac:dyDescent="0.3">
      <c r="A222" s="11" t="s">
        <v>1023</v>
      </c>
      <c r="B222" s="11" t="s">
        <v>1088</v>
      </c>
      <c r="C222" s="188">
        <v>30</v>
      </c>
      <c r="D222" s="188">
        <v>12629.7950793869</v>
      </c>
      <c r="E222" s="189">
        <v>3351.24731708021</v>
      </c>
      <c r="F222" s="190">
        <v>4.3543828116457997</v>
      </c>
      <c r="G222" s="191">
        <v>1.1238503416910901</v>
      </c>
    </row>
    <row r="223" spans="1:7" x14ac:dyDescent="0.3">
      <c r="A223" s="6" t="s">
        <v>1025</v>
      </c>
      <c r="B223" s="6" t="s">
        <v>1089</v>
      </c>
      <c r="C223" s="184">
        <v>34</v>
      </c>
      <c r="D223" s="184">
        <v>11109.8114071375</v>
      </c>
      <c r="E223" s="185">
        <v>1639.40308215082</v>
      </c>
      <c r="F223" s="186">
        <v>3.8303370345906198</v>
      </c>
      <c r="G223" s="187">
        <v>0.57713927195315295</v>
      </c>
    </row>
    <row r="224" spans="1:7" x14ac:dyDescent="0.3">
      <c r="A224" s="11" t="s">
        <v>1021</v>
      </c>
      <c r="B224" s="11" t="s">
        <v>1087</v>
      </c>
      <c r="C224" s="188">
        <v>9</v>
      </c>
      <c r="D224" s="188">
        <v>4018.9667293482398</v>
      </c>
      <c r="E224" s="189">
        <v>2035.41679508738</v>
      </c>
      <c r="F224" s="190">
        <v>1.3856218202156101</v>
      </c>
      <c r="G224" s="191">
        <v>0.70938966415632398</v>
      </c>
    </row>
    <row r="225" spans="1:7" x14ac:dyDescent="0.3">
      <c r="A225" s="6" t="s">
        <v>1019</v>
      </c>
      <c r="B225" s="6" t="s">
        <v>1020</v>
      </c>
      <c r="C225" s="184">
        <v>116</v>
      </c>
      <c r="D225" s="184">
        <v>28485.118917782202</v>
      </c>
      <c r="E225" s="185">
        <v>3234.2280065320701</v>
      </c>
      <c r="F225" s="186">
        <v>100</v>
      </c>
      <c r="G225" s="187">
        <v>0</v>
      </c>
    </row>
    <row r="226" spans="1:7" x14ac:dyDescent="0.3">
      <c r="A226" s="11" t="s">
        <v>6354</v>
      </c>
      <c r="B226" s="11" t="s">
        <v>6355</v>
      </c>
      <c r="C226" s="188">
        <v>933</v>
      </c>
      <c r="D226" s="188">
        <v>290047.88108221802</v>
      </c>
      <c r="E226" s="189">
        <v>3234.2280065322302</v>
      </c>
      <c r="F226" s="190">
        <v>91.057404125229695</v>
      </c>
      <c r="G226" s="191">
        <v>1.01535100179011</v>
      </c>
    </row>
    <row r="227" spans="1:7" x14ac:dyDescent="0.3">
      <c r="A227" s="6" t="s">
        <v>6354</v>
      </c>
      <c r="B227" s="6" t="s">
        <v>6356</v>
      </c>
      <c r="C227" s="184">
        <v>1049</v>
      </c>
      <c r="D227" s="184">
        <v>318533</v>
      </c>
      <c r="E227" s="185">
        <v>0</v>
      </c>
      <c r="F227" s="186">
        <v>100</v>
      </c>
      <c r="G227" s="187">
        <v>0</v>
      </c>
    </row>
    <row r="228" spans="1:7" x14ac:dyDescent="0.3">
      <c r="A228" s="3449" t="s">
        <v>89</v>
      </c>
      <c r="B228" s="3450"/>
      <c r="C228" s="3450"/>
      <c r="D228" s="3450"/>
      <c r="E228" s="3450"/>
      <c r="F228" s="3450"/>
      <c r="G228" s="3450"/>
    </row>
    <row r="229" spans="1:7" x14ac:dyDescent="0.3">
      <c r="A229" s="11" t="s">
        <v>1021</v>
      </c>
      <c r="B229" s="11" t="s">
        <v>1087</v>
      </c>
      <c r="C229" s="196">
        <v>831</v>
      </c>
      <c r="D229" s="196">
        <v>263518.88411885401</v>
      </c>
      <c r="E229" s="197">
        <v>5471.4853189474497</v>
      </c>
      <c r="F229" s="198">
        <v>84.520001258987904</v>
      </c>
      <c r="G229" s="199">
        <v>1.5401347729837001</v>
      </c>
    </row>
    <row r="230" spans="1:7" x14ac:dyDescent="0.3">
      <c r="A230" s="6" t="s">
        <v>1023</v>
      </c>
      <c r="B230" s="6" t="s">
        <v>1109</v>
      </c>
      <c r="C230" s="192">
        <v>154</v>
      </c>
      <c r="D230" s="192">
        <v>31007.350492641799</v>
      </c>
      <c r="E230" s="193">
        <v>3278.160261471</v>
      </c>
      <c r="F230" s="194">
        <v>9.9451745609773301</v>
      </c>
      <c r="G230" s="195">
        <v>1.0725311998386999</v>
      </c>
    </row>
    <row r="231" spans="1:7" x14ac:dyDescent="0.3">
      <c r="A231" s="11" t="s">
        <v>1029</v>
      </c>
      <c r="B231" s="11" t="s">
        <v>1091</v>
      </c>
      <c r="C231" s="196">
        <v>25</v>
      </c>
      <c r="D231" s="196">
        <v>9957.7606906777601</v>
      </c>
      <c r="E231" s="197">
        <v>1135.36916657692</v>
      </c>
      <c r="F231" s="198">
        <v>3.1938126518977898</v>
      </c>
      <c r="G231" s="199">
        <v>0.35662193094699501</v>
      </c>
    </row>
    <row r="232" spans="1:7" x14ac:dyDescent="0.3">
      <c r="A232" s="6" t="s">
        <v>1025</v>
      </c>
      <c r="B232" s="6" t="s">
        <v>1089</v>
      </c>
      <c r="C232" s="192">
        <v>18</v>
      </c>
      <c r="D232" s="192">
        <v>7265.9192474956699</v>
      </c>
      <c r="E232" s="193">
        <v>3985.6992390282899</v>
      </c>
      <c r="F232" s="194">
        <v>2.3304421085399598</v>
      </c>
      <c r="G232" s="195">
        <v>1.2808831633681099</v>
      </c>
    </row>
    <row r="233" spans="1:7" x14ac:dyDescent="0.3">
      <c r="A233" s="11" t="s">
        <v>1027</v>
      </c>
      <c r="B233" s="11" t="s">
        <v>1090</v>
      </c>
      <c r="C233" s="196">
        <v>1</v>
      </c>
      <c r="D233" s="196">
        <v>32.953639570649401</v>
      </c>
      <c r="E233" s="197">
        <v>35.369864923695303</v>
      </c>
      <c r="F233" s="198">
        <v>1.0569419597053599E-2</v>
      </c>
      <c r="G233" s="199">
        <v>1.1345847571820399E-2</v>
      </c>
    </row>
    <row r="234" spans="1:7" x14ac:dyDescent="0.3">
      <c r="A234" s="6" t="s">
        <v>1019</v>
      </c>
      <c r="B234" s="6" t="s">
        <v>1020</v>
      </c>
      <c r="C234" s="192">
        <v>20</v>
      </c>
      <c r="D234" s="192">
        <v>6750.13181075999</v>
      </c>
      <c r="E234" s="193">
        <v>1639.5854695887699</v>
      </c>
      <c r="F234" s="194">
        <v>100</v>
      </c>
      <c r="G234" s="195">
        <v>0</v>
      </c>
    </row>
    <row r="235" spans="1:7" x14ac:dyDescent="0.3">
      <c r="A235" s="11" t="s">
        <v>6354</v>
      </c>
      <c r="B235" s="11" t="s">
        <v>6355</v>
      </c>
      <c r="C235" s="196">
        <v>1029</v>
      </c>
      <c r="D235" s="196">
        <v>311782.86818923999</v>
      </c>
      <c r="E235" s="197">
        <v>1639.58546958893</v>
      </c>
      <c r="F235" s="198">
        <v>97.880868917581495</v>
      </c>
      <c r="G235" s="199">
        <v>0.51473017539431698</v>
      </c>
    </row>
    <row r="236" spans="1:7" x14ac:dyDescent="0.3">
      <c r="A236" s="6" t="s">
        <v>6354</v>
      </c>
      <c r="B236" s="6" t="s">
        <v>6356</v>
      </c>
      <c r="C236" s="192">
        <v>1049</v>
      </c>
      <c r="D236" s="192">
        <v>318533</v>
      </c>
      <c r="E236" s="193">
        <v>0</v>
      </c>
      <c r="F236" s="194">
        <v>100</v>
      </c>
      <c r="G236" s="195">
        <v>0</v>
      </c>
    </row>
    <row r="237" spans="1:7" x14ac:dyDescent="0.3">
      <c r="A237" s="3449" t="s">
        <v>676</v>
      </c>
      <c r="B237" s="3450"/>
      <c r="C237" s="3450"/>
      <c r="D237" s="3450"/>
      <c r="E237" s="3450"/>
      <c r="F237" s="3450"/>
      <c r="G237" s="3450"/>
    </row>
    <row r="238" spans="1:7" x14ac:dyDescent="0.3">
      <c r="A238" s="11" t="s">
        <v>1029</v>
      </c>
      <c r="B238" s="11" t="s">
        <v>6051</v>
      </c>
      <c r="C238" s="204">
        <v>713</v>
      </c>
      <c r="D238" s="204">
        <v>197582.13485312299</v>
      </c>
      <c r="E238" s="205">
        <v>6902.3771788312497</v>
      </c>
      <c r="F238" s="206">
        <v>66.945218823539193</v>
      </c>
      <c r="G238" s="207">
        <v>2.2465012436202501</v>
      </c>
    </row>
    <row r="239" spans="1:7" x14ac:dyDescent="0.3">
      <c r="A239" s="6" t="s">
        <v>1027</v>
      </c>
      <c r="B239" s="6" t="s">
        <v>1090</v>
      </c>
      <c r="C239" s="200">
        <v>195</v>
      </c>
      <c r="D239" s="200">
        <v>81585.934299535002</v>
      </c>
      <c r="E239" s="201">
        <v>5520.6946712106201</v>
      </c>
      <c r="F239" s="202">
        <v>27.643127900533202</v>
      </c>
      <c r="G239" s="203">
        <v>1.93862593330503</v>
      </c>
    </row>
    <row r="240" spans="1:7" x14ac:dyDescent="0.3">
      <c r="A240" s="11" t="s">
        <v>1025</v>
      </c>
      <c r="B240" s="11" t="s">
        <v>1089</v>
      </c>
      <c r="C240" s="204">
        <v>26</v>
      </c>
      <c r="D240" s="204">
        <v>11263.1992605492</v>
      </c>
      <c r="E240" s="205">
        <v>3326.0503223667401</v>
      </c>
      <c r="F240" s="206">
        <v>3.8162222496032401</v>
      </c>
      <c r="G240" s="207">
        <v>1.0928322882630901</v>
      </c>
    </row>
    <row r="241" spans="1:7" x14ac:dyDescent="0.3">
      <c r="A241" s="6" t="s">
        <v>1023</v>
      </c>
      <c r="B241" s="6" t="s">
        <v>1088</v>
      </c>
      <c r="C241" s="200">
        <v>9</v>
      </c>
      <c r="D241" s="200">
        <v>2951.9282816442601</v>
      </c>
      <c r="E241" s="201">
        <v>740.39415436791205</v>
      </c>
      <c r="F241" s="202">
        <v>1.00017891249618</v>
      </c>
      <c r="G241" s="203">
        <v>0.253215198554886</v>
      </c>
    </row>
    <row r="242" spans="1:7" x14ac:dyDescent="0.3">
      <c r="A242" s="11" t="s">
        <v>1021</v>
      </c>
      <c r="B242" s="11" t="s">
        <v>1087</v>
      </c>
      <c r="C242" s="204">
        <v>3</v>
      </c>
      <c r="D242" s="204">
        <v>1756.8272311728499</v>
      </c>
      <c r="E242" s="205">
        <v>1304.9100633686501</v>
      </c>
      <c r="F242" s="206">
        <v>0.59525211382824805</v>
      </c>
      <c r="G242" s="207">
        <v>0.44386830016802498</v>
      </c>
    </row>
    <row r="243" spans="1:7" x14ac:dyDescent="0.3">
      <c r="A243" s="6" t="s">
        <v>1019</v>
      </c>
      <c r="B243" s="6" t="s">
        <v>1020</v>
      </c>
      <c r="C243" s="200">
        <v>103</v>
      </c>
      <c r="D243" s="200">
        <v>23392.976073976199</v>
      </c>
      <c r="E243" s="201">
        <v>3468.76071078517</v>
      </c>
      <c r="F243" s="202">
        <v>100</v>
      </c>
      <c r="G243" s="203">
        <v>0</v>
      </c>
    </row>
    <row r="244" spans="1:7" x14ac:dyDescent="0.3">
      <c r="A244" s="11" t="s">
        <v>6354</v>
      </c>
      <c r="B244" s="11" t="s">
        <v>6355</v>
      </c>
      <c r="C244" s="204">
        <v>946</v>
      </c>
      <c r="D244" s="204">
        <v>295140.02392602398</v>
      </c>
      <c r="E244" s="205">
        <v>3468.76071078533</v>
      </c>
      <c r="F244" s="206">
        <v>92.656027452736097</v>
      </c>
      <c r="G244" s="207">
        <v>1.08898001487606</v>
      </c>
    </row>
    <row r="245" spans="1:7" x14ac:dyDescent="0.3">
      <c r="A245" s="6" t="s">
        <v>6354</v>
      </c>
      <c r="B245" s="6" t="s">
        <v>6356</v>
      </c>
      <c r="C245" s="200">
        <v>1049</v>
      </c>
      <c r="D245" s="200">
        <v>318533</v>
      </c>
      <c r="E245" s="201">
        <v>0</v>
      </c>
      <c r="F245" s="202">
        <v>100</v>
      </c>
      <c r="G245" s="203">
        <v>0</v>
      </c>
    </row>
    <row r="246" spans="1:7" x14ac:dyDescent="0.3">
      <c r="A246" s="3449" t="s">
        <v>86</v>
      </c>
      <c r="B246" s="3450"/>
      <c r="C246" s="3450"/>
      <c r="D246" s="3450"/>
      <c r="E246" s="3450"/>
      <c r="F246" s="3450"/>
      <c r="G246" s="3450"/>
    </row>
    <row r="247" spans="1:7" x14ac:dyDescent="0.3">
      <c r="A247" s="11" t="s">
        <v>1029</v>
      </c>
      <c r="B247" s="11" t="s">
        <v>1091</v>
      </c>
      <c r="C247" s="212">
        <v>842</v>
      </c>
      <c r="D247" s="212">
        <v>248422.67430449199</v>
      </c>
      <c r="E247" s="213">
        <v>7821.0763561887097</v>
      </c>
      <c r="F247" s="214">
        <v>83.929945437463999</v>
      </c>
      <c r="G247" s="215">
        <v>2.5083008441277199</v>
      </c>
    </row>
    <row r="248" spans="1:7" x14ac:dyDescent="0.3">
      <c r="A248" s="6" t="s">
        <v>1027</v>
      </c>
      <c r="B248" s="6" t="s">
        <v>1090</v>
      </c>
      <c r="C248" s="208">
        <v>67</v>
      </c>
      <c r="D248" s="208">
        <v>28633.416176811799</v>
      </c>
      <c r="E248" s="209">
        <v>6637.6027894911804</v>
      </c>
      <c r="F248" s="210">
        <v>9.6738394115442699</v>
      </c>
      <c r="G248" s="211">
        <v>2.2125007255093201</v>
      </c>
    </row>
    <row r="249" spans="1:7" x14ac:dyDescent="0.3">
      <c r="A249" s="11" t="s">
        <v>1025</v>
      </c>
      <c r="B249" s="11" t="s">
        <v>1089</v>
      </c>
      <c r="C249" s="212">
        <v>13</v>
      </c>
      <c r="D249" s="212">
        <v>8420.1974587703007</v>
      </c>
      <c r="E249" s="213">
        <v>3187.8612433230101</v>
      </c>
      <c r="F249" s="214">
        <v>2.84477540251038</v>
      </c>
      <c r="G249" s="215">
        <v>1.06601843530216</v>
      </c>
    </row>
    <row r="250" spans="1:7" x14ac:dyDescent="0.3">
      <c r="A250" s="6" t="s">
        <v>1023</v>
      </c>
      <c r="B250" s="6" t="s">
        <v>1088</v>
      </c>
      <c r="C250" s="208">
        <v>16</v>
      </c>
      <c r="D250" s="208">
        <v>7486.9597550158196</v>
      </c>
      <c r="E250" s="209">
        <v>3801.3083526083801</v>
      </c>
      <c r="F250" s="210">
        <v>2.5294797485384199</v>
      </c>
      <c r="G250" s="211">
        <v>1.288833917182</v>
      </c>
    </row>
    <row r="251" spans="1:7" x14ac:dyDescent="0.3">
      <c r="A251" s="11" t="s">
        <v>1021</v>
      </c>
      <c r="B251" s="11" t="s">
        <v>1108</v>
      </c>
      <c r="C251" s="212">
        <v>9</v>
      </c>
      <c r="D251" s="212">
        <v>3024.8802724076099</v>
      </c>
      <c r="E251" s="213">
        <v>1120.4261131337801</v>
      </c>
      <c r="F251" s="214">
        <v>1.0219599999428901</v>
      </c>
      <c r="G251" s="215">
        <v>0.37793964191943302</v>
      </c>
    </row>
    <row r="252" spans="1:7" x14ac:dyDescent="0.3">
      <c r="A252" s="6" t="s">
        <v>1019</v>
      </c>
      <c r="B252" s="6" t="s">
        <v>1020</v>
      </c>
      <c r="C252" s="208">
        <v>102</v>
      </c>
      <c r="D252" s="208">
        <v>22544.872032502499</v>
      </c>
      <c r="E252" s="209">
        <v>4170.7688071669199</v>
      </c>
      <c r="F252" s="210">
        <v>100</v>
      </c>
      <c r="G252" s="211">
        <v>0</v>
      </c>
    </row>
    <row r="253" spans="1:7" x14ac:dyDescent="0.3">
      <c r="A253" s="11" t="s">
        <v>6354</v>
      </c>
      <c r="B253" s="11" t="s">
        <v>6355</v>
      </c>
      <c r="C253" s="212">
        <v>947</v>
      </c>
      <c r="D253" s="212">
        <v>295988.12796749698</v>
      </c>
      <c r="E253" s="213">
        <v>4170.76880716695</v>
      </c>
      <c r="F253" s="214">
        <v>92.922280569830306</v>
      </c>
      <c r="G253" s="215">
        <v>1.3093678856403901</v>
      </c>
    </row>
    <row r="254" spans="1:7" x14ac:dyDescent="0.3">
      <c r="A254" s="6" t="s">
        <v>6354</v>
      </c>
      <c r="B254" s="6" t="s">
        <v>6356</v>
      </c>
      <c r="C254" s="208">
        <v>1049</v>
      </c>
      <c r="D254" s="208">
        <v>318533</v>
      </c>
      <c r="E254" s="209">
        <v>0</v>
      </c>
      <c r="F254" s="210">
        <v>100</v>
      </c>
      <c r="G254" s="211">
        <v>0</v>
      </c>
    </row>
    <row r="255" spans="1:7" x14ac:dyDescent="0.3">
      <c r="A255" s="3449" t="s">
        <v>751</v>
      </c>
      <c r="B255" s="3450"/>
      <c r="C255" s="3450"/>
      <c r="D255" s="3450"/>
      <c r="E255" s="3450"/>
      <c r="F255" s="3450"/>
      <c r="G255" s="3450"/>
    </row>
    <row r="256" spans="1:7" x14ac:dyDescent="0.3">
      <c r="A256" s="11" t="s">
        <v>1029</v>
      </c>
      <c r="B256" s="11" t="s">
        <v>6051</v>
      </c>
      <c r="C256" s="220">
        <v>887</v>
      </c>
      <c r="D256" s="220">
        <v>271545.61645491602</v>
      </c>
      <c r="E256" s="221">
        <v>4715.1011169269796</v>
      </c>
      <c r="F256" s="222">
        <v>92.487606760155501</v>
      </c>
      <c r="G256" s="223">
        <v>0.91569849105704804</v>
      </c>
    </row>
    <row r="257" spans="1:7" x14ac:dyDescent="0.3">
      <c r="A257" s="6" t="s">
        <v>1027</v>
      </c>
      <c r="B257" s="6" t="s">
        <v>1090</v>
      </c>
      <c r="C257" s="216">
        <v>48</v>
      </c>
      <c r="D257" s="216">
        <v>21173.5488154021</v>
      </c>
      <c r="E257" s="217">
        <v>2574.98816501688</v>
      </c>
      <c r="F257" s="218">
        <v>7.2116459920132598</v>
      </c>
      <c r="G257" s="219">
        <v>0.90146825342312997</v>
      </c>
    </row>
    <row r="258" spans="1:7" x14ac:dyDescent="0.3">
      <c r="A258" s="11" t="s">
        <v>1021</v>
      </c>
      <c r="B258" s="11" t="s">
        <v>1087</v>
      </c>
      <c r="C258" s="220">
        <v>1</v>
      </c>
      <c r="D258" s="220">
        <v>444.37047993947499</v>
      </c>
      <c r="E258" s="221">
        <v>463.74015408199102</v>
      </c>
      <c r="F258" s="222">
        <v>0.15135122688046501</v>
      </c>
      <c r="G258" s="223">
        <v>0.158397199074305</v>
      </c>
    </row>
    <row r="259" spans="1:7" x14ac:dyDescent="0.3">
      <c r="A259" s="6" t="s">
        <v>1025</v>
      </c>
      <c r="B259" s="6" t="s">
        <v>1089</v>
      </c>
      <c r="C259" s="216">
        <v>1</v>
      </c>
      <c r="D259" s="216">
        <v>438.629952985984</v>
      </c>
      <c r="E259" s="217">
        <v>427.08380756650598</v>
      </c>
      <c r="F259" s="218">
        <v>0.149396020950787</v>
      </c>
      <c r="G259" s="219">
        <v>0.14518439575070199</v>
      </c>
    </row>
    <row r="260" spans="1:7" x14ac:dyDescent="0.3">
      <c r="A260" s="11" t="s">
        <v>1019</v>
      </c>
      <c r="B260" s="11" t="s">
        <v>1020</v>
      </c>
      <c r="C260" s="220">
        <v>112</v>
      </c>
      <c r="D260" s="220">
        <v>24930.8342967557</v>
      </c>
      <c r="E260" s="221">
        <v>3225.3620421978699</v>
      </c>
      <c r="F260" s="222">
        <v>100</v>
      </c>
      <c r="G260" s="223">
        <v>0</v>
      </c>
    </row>
    <row r="261" spans="1:7" x14ac:dyDescent="0.3">
      <c r="A261" s="6" t="s">
        <v>6354</v>
      </c>
      <c r="B261" s="6" t="s">
        <v>6355</v>
      </c>
      <c r="C261" s="216">
        <v>937</v>
      </c>
      <c r="D261" s="216">
        <v>293602.16570324398</v>
      </c>
      <c r="E261" s="217">
        <v>3225.3620421979599</v>
      </c>
      <c r="F261" s="218">
        <v>92.173233449358193</v>
      </c>
      <c r="G261" s="219">
        <v>1.0125676279060201</v>
      </c>
    </row>
    <row r="262" spans="1:7" x14ac:dyDescent="0.3">
      <c r="A262" s="11" t="s">
        <v>6354</v>
      </c>
      <c r="B262" s="11" t="s">
        <v>6356</v>
      </c>
      <c r="C262" s="220">
        <v>1049</v>
      </c>
      <c r="D262" s="220">
        <v>318533</v>
      </c>
      <c r="E262" s="221">
        <v>0</v>
      </c>
      <c r="F262" s="222">
        <v>100</v>
      </c>
      <c r="G262" s="223">
        <v>0</v>
      </c>
    </row>
    <row r="263" spans="1:7" x14ac:dyDescent="0.3">
      <c r="A263" s="3449" t="s">
        <v>516</v>
      </c>
      <c r="B263" s="3450"/>
      <c r="C263" s="3450"/>
      <c r="D263" s="3450"/>
      <c r="E263" s="3450"/>
      <c r="F263" s="3450"/>
      <c r="G263" s="3450"/>
    </row>
    <row r="264" spans="1:7" x14ac:dyDescent="0.3">
      <c r="A264" s="11" t="s">
        <v>1029</v>
      </c>
      <c r="B264" s="11" t="s">
        <v>6051</v>
      </c>
      <c r="C264" s="228">
        <v>909</v>
      </c>
      <c r="D264" s="228">
        <v>280805.87390495301</v>
      </c>
      <c r="E264" s="229">
        <v>6102.7577572358696</v>
      </c>
      <c r="F264" s="230">
        <v>96.115771652116507</v>
      </c>
      <c r="G264" s="231">
        <v>1.8361480341755101</v>
      </c>
    </row>
    <row r="265" spans="1:7" x14ac:dyDescent="0.3">
      <c r="A265" s="6" t="s">
        <v>1027</v>
      </c>
      <c r="B265" s="6" t="s">
        <v>1090</v>
      </c>
      <c r="C265" s="224">
        <v>14</v>
      </c>
      <c r="D265" s="224">
        <v>7043.95929937662</v>
      </c>
      <c r="E265" s="225">
        <v>3403.3893711890601</v>
      </c>
      <c r="F265" s="226">
        <v>2.41104494763827</v>
      </c>
      <c r="G265" s="227">
        <v>1.1616999615499399</v>
      </c>
    </row>
    <row r="266" spans="1:7" x14ac:dyDescent="0.3">
      <c r="A266" s="11" t="s">
        <v>1025</v>
      </c>
      <c r="B266" s="11" t="s">
        <v>1089</v>
      </c>
      <c r="C266" s="228">
        <v>6</v>
      </c>
      <c r="D266" s="228">
        <v>2729.2122638209598</v>
      </c>
      <c r="E266" s="229">
        <v>1761.3925196555699</v>
      </c>
      <c r="F266" s="230">
        <v>0.93416971337416099</v>
      </c>
      <c r="G266" s="231">
        <v>0.60233177383337799</v>
      </c>
    </row>
    <row r="267" spans="1:7" x14ac:dyDescent="0.3">
      <c r="A267" s="6" t="s">
        <v>1023</v>
      </c>
      <c r="B267" s="6" t="s">
        <v>1109</v>
      </c>
      <c r="C267" s="224">
        <v>4</v>
      </c>
      <c r="D267" s="224">
        <v>1130.3784586259201</v>
      </c>
      <c r="E267" s="225">
        <v>678.94252220565397</v>
      </c>
      <c r="F267" s="226">
        <v>0.38691212651247697</v>
      </c>
      <c r="G267" s="227">
        <v>0.23143705484733501</v>
      </c>
    </row>
    <row r="268" spans="1:7" x14ac:dyDescent="0.3">
      <c r="A268" s="11" t="s">
        <v>1021</v>
      </c>
      <c r="B268" s="11" t="s">
        <v>1087</v>
      </c>
      <c r="C268" s="228">
        <v>1</v>
      </c>
      <c r="D268" s="228">
        <v>444.37047993947499</v>
      </c>
      <c r="E268" s="229">
        <v>463.74015408199102</v>
      </c>
      <c r="F268" s="230">
        <v>0.15210156035860101</v>
      </c>
      <c r="G268" s="231">
        <v>0.15919915445652899</v>
      </c>
    </row>
    <row r="269" spans="1:7" x14ac:dyDescent="0.3">
      <c r="A269" s="6" t="s">
        <v>1019</v>
      </c>
      <c r="B269" s="6" t="s">
        <v>1020</v>
      </c>
      <c r="C269" s="224">
        <v>114</v>
      </c>
      <c r="D269" s="224">
        <v>25748.469686308199</v>
      </c>
      <c r="E269" s="225">
        <v>3378.1437639251999</v>
      </c>
      <c r="F269" s="226">
        <v>97.608965498431004</v>
      </c>
      <c r="G269" s="227">
        <v>2.3668301670810998</v>
      </c>
    </row>
    <row r="270" spans="1:7" x14ac:dyDescent="0.3">
      <c r="A270" s="11" t="s">
        <v>1015</v>
      </c>
      <c r="B270" s="11" t="s">
        <v>1092</v>
      </c>
      <c r="C270" s="228">
        <v>1</v>
      </c>
      <c r="D270" s="228">
        <v>630.735906975224</v>
      </c>
      <c r="E270" s="229">
        <v>631.40561132600101</v>
      </c>
      <c r="F270" s="230">
        <v>2.3910345015689898</v>
      </c>
      <c r="G270" s="231">
        <v>2.3668301670810998</v>
      </c>
    </row>
    <row r="271" spans="1:7" x14ac:dyDescent="0.3">
      <c r="A271" s="6" t="s">
        <v>6354</v>
      </c>
      <c r="B271" s="6" t="s">
        <v>6355</v>
      </c>
      <c r="C271" s="224">
        <v>934</v>
      </c>
      <c r="D271" s="224">
        <v>292153.79440671601</v>
      </c>
      <c r="E271" s="225">
        <v>3701.3614074024899</v>
      </c>
      <c r="F271" s="226">
        <v>91.718532901368604</v>
      </c>
      <c r="G271" s="227">
        <v>1.16200249500125</v>
      </c>
    </row>
    <row r="272" spans="1:7" x14ac:dyDescent="0.3">
      <c r="A272" s="11" t="s">
        <v>6354</v>
      </c>
      <c r="B272" s="11" t="s">
        <v>6356</v>
      </c>
      <c r="C272" s="228">
        <v>1049</v>
      </c>
      <c r="D272" s="228">
        <v>318533</v>
      </c>
      <c r="E272" s="229">
        <v>0</v>
      </c>
      <c r="F272" s="230">
        <v>100</v>
      </c>
      <c r="G272" s="231">
        <v>0</v>
      </c>
    </row>
    <row r="273" spans="1:7" x14ac:dyDescent="0.3">
      <c r="A273" s="3449" t="s">
        <v>535</v>
      </c>
      <c r="B273" s="3450"/>
      <c r="C273" s="3450"/>
      <c r="D273" s="3450"/>
      <c r="E273" s="3450"/>
      <c r="F273" s="3450"/>
      <c r="G273" s="3450"/>
    </row>
    <row r="274" spans="1:7" x14ac:dyDescent="0.3">
      <c r="A274" s="11" t="s">
        <v>1023</v>
      </c>
      <c r="B274" s="11" t="s">
        <v>1094</v>
      </c>
      <c r="C274" s="236">
        <v>315</v>
      </c>
      <c r="D274" s="236">
        <v>84451.490830318406</v>
      </c>
      <c r="E274" s="237">
        <v>6733.0680852954001</v>
      </c>
      <c r="F274" s="238">
        <v>26.518340834063199</v>
      </c>
      <c r="G274" s="239">
        <v>2.1137107223795102</v>
      </c>
    </row>
    <row r="275" spans="1:7" x14ac:dyDescent="0.3">
      <c r="A275" s="6" t="s">
        <v>1021</v>
      </c>
      <c r="B275" s="6" t="s">
        <v>1093</v>
      </c>
      <c r="C275" s="232">
        <v>169</v>
      </c>
      <c r="D275" s="232">
        <v>66007.578256172594</v>
      </c>
      <c r="E275" s="233">
        <v>5882.9488813384096</v>
      </c>
      <c r="F275" s="234">
        <v>20.726827207174399</v>
      </c>
      <c r="G275" s="235">
        <v>1.8470310770149301</v>
      </c>
    </row>
    <row r="276" spans="1:7" x14ac:dyDescent="0.3">
      <c r="A276" s="11" t="s">
        <v>1027</v>
      </c>
      <c r="B276" s="11" t="s">
        <v>1096</v>
      </c>
      <c r="C276" s="236">
        <v>219</v>
      </c>
      <c r="D276" s="236">
        <v>60238.838526782703</v>
      </c>
      <c r="E276" s="237">
        <v>6771.0349247775002</v>
      </c>
      <c r="F276" s="238">
        <v>18.9154038110578</v>
      </c>
      <c r="G276" s="239">
        <v>2.12664473425315</v>
      </c>
    </row>
    <row r="277" spans="1:7" x14ac:dyDescent="0.3">
      <c r="A277" s="6" t="s">
        <v>1025</v>
      </c>
      <c r="B277" s="6" t="s">
        <v>1095</v>
      </c>
      <c r="C277" s="232">
        <v>219</v>
      </c>
      <c r="D277" s="232">
        <v>59088.882432391802</v>
      </c>
      <c r="E277" s="233">
        <v>7954.1130281580499</v>
      </c>
      <c r="F277" s="234">
        <v>18.554309798916201</v>
      </c>
      <c r="G277" s="235">
        <v>2.49740360179268</v>
      </c>
    </row>
    <row r="278" spans="1:7" x14ac:dyDescent="0.3">
      <c r="A278" s="11" t="s">
        <v>1029</v>
      </c>
      <c r="B278" s="11" t="s">
        <v>1097</v>
      </c>
      <c r="C278" s="236">
        <v>125</v>
      </c>
      <c r="D278" s="236">
        <v>48677.669547670499</v>
      </c>
      <c r="E278" s="237">
        <v>3887.8565160243102</v>
      </c>
      <c r="F278" s="238">
        <v>15.2851183487883</v>
      </c>
      <c r="G278" s="239">
        <v>1.22163501536797</v>
      </c>
    </row>
    <row r="279" spans="1:7" x14ac:dyDescent="0.3">
      <c r="A279" s="6" t="s">
        <v>1019</v>
      </c>
      <c r="B279" s="6" t="s">
        <v>1020</v>
      </c>
      <c r="C279" s="232">
        <v>2</v>
      </c>
      <c r="D279" s="232">
        <v>68.5404066639001</v>
      </c>
      <c r="E279" s="233">
        <v>74.674917294160196</v>
      </c>
      <c r="F279" s="234">
        <v>100</v>
      </c>
      <c r="G279" s="235" t="e">
        <v>#NUM!</v>
      </c>
    </row>
    <row r="280" spans="1:7" x14ac:dyDescent="0.3">
      <c r="A280" s="11" t="s">
        <v>6354</v>
      </c>
      <c r="B280" s="11" t="s">
        <v>6355</v>
      </c>
      <c r="C280" s="236">
        <v>1047</v>
      </c>
      <c r="D280" s="236">
        <v>318464.45959333598</v>
      </c>
      <c r="E280" s="237">
        <v>74.674917294172801</v>
      </c>
      <c r="F280" s="238">
        <v>99.978482478529997</v>
      </c>
      <c r="G280" s="239">
        <v>2.34433849221783E-2</v>
      </c>
    </row>
    <row r="281" spans="1:7" x14ac:dyDescent="0.3">
      <c r="A281" s="6" t="s">
        <v>6354</v>
      </c>
      <c r="B281" s="6" t="s">
        <v>6356</v>
      </c>
      <c r="C281" s="232">
        <v>1049</v>
      </c>
      <c r="D281" s="232">
        <v>318533</v>
      </c>
      <c r="E281" s="233">
        <v>0</v>
      </c>
      <c r="F281" s="234">
        <v>100</v>
      </c>
      <c r="G281" s="235">
        <v>0</v>
      </c>
    </row>
    <row r="282" spans="1:7" x14ac:dyDescent="0.3">
      <c r="A282" s="3449" t="s">
        <v>532</v>
      </c>
      <c r="B282" s="3450"/>
      <c r="C282" s="3450"/>
      <c r="D282" s="3450"/>
      <c r="E282" s="3450"/>
      <c r="F282" s="3450"/>
      <c r="G282" s="3450"/>
    </row>
    <row r="283" spans="1:7" x14ac:dyDescent="0.3">
      <c r="A283" s="11" t="s">
        <v>1025</v>
      </c>
      <c r="B283" s="11" t="s">
        <v>1095</v>
      </c>
      <c r="C283" s="244">
        <v>363</v>
      </c>
      <c r="D283" s="244">
        <v>108553.120930369</v>
      </c>
      <c r="E283" s="245">
        <v>9192.0716127087908</v>
      </c>
      <c r="F283" s="246">
        <v>34.7385753744773</v>
      </c>
      <c r="G283" s="247">
        <v>2.8989777845548401</v>
      </c>
    </row>
    <row r="284" spans="1:7" x14ac:dyDescent="0.3">
      <c r="A284" s="6" t="s">
        <v>1023</v>
      </c>
      <c r="B284" s="6" t="s">
        <v>1094</v>
      </c>
      <c r="C284" s="240">
        <v>263</v>
      </c>
      <c r="D284" s="240">
        <v>70179.086409666503</v>
      </c>
      <c r="E284" s="241">
        <v>6770.1094421632597</v>
      </c>
      <c r="F284" s="242">
        <v>22.4583269652647</v>
      </c>
      <c r="G284" s="243">
        <v>2.23592003828445</v>
      </c>
    </row>
    <row r="285" spans="1:7" x14ac:dyDescent="0.3">
      <c r="A285" s="11" t="s">
        <v>1027</v>
      </c>
      <c r="B285" s="11" t="s">
        <v>1096</v>
      </c>
      <c r="C285" s="244">
        <v>236</v>
      </c>
      <c r="D285" s="244">
        <v>68751.641548859407</v>
      </c>
      <c r="E285" s="245">
        <v>4089.3756757769102</v>
      </c>
      <c r="F285" s="246">
        <v>22.001523876923599</v>
      </c>
      <c r="G285" s="247">
        <v>1.3806973049324001</v>
      </c>
    </row>
    <row r="286" spans="1:7" x14ac:dyDescent="0.3">
      <c r="A286" s="6" t="s">
        <v>1021</v>
      </c>
      <c r="B286" s="6" t="s">
        <v>1093</v>
      </c>
      <c r="C286" s="240">
        <v>84</v>
      </c>
      <c r="D286" s="240">
        <v>34637.637534772097</v>
      </c>
      <c r="E286" s="241">
        <v>4583.8209174325302</v>
      </c>
      <c r="F286" s="242">
        <v>11.084547104521601</v>
      </c>
      <c r="G286" s="243">
        <v>1.43008604263329</v>
      </c>
    </row>
    <row r="287" spans="1:7" x14ac:dyDescent="0.3">
      <c r="A287" s="11" t="s">
        <v>1029</v>
      </c>
      <c r="B287" s="11" t="s">
        <v>1097</v>
      </c>
      <c r="C287" s="244">
        <v>76</v>
      </c>
      <c r="D287" s="244">
        <v>30364.3301654729</v>
      </c>
      <c r="E287" s="245">
        <v>2901.9622991935298</v>
      </c>
      <c r="F287" s="246">
        <v>9.7170266788128306</v>
      </c>
      <c r="G287" s="247">
        <v>0.87959352429419702</v>
      </c>
    </row>
    <row r="288" spans="1:7" x14ac:dyDescent="0.3">
      <c r="A288" s="6" t="s">
        <v>1019</v>
      </c>
      <c r="B288" s="6" t="s">
        <v>1020</v>
      </c>
      <c r="C288" s="240">
        <v>27</v>
      </c>
      <c r="D288" s="240">
        <v>6047.1834108595303</v>
      </c>
      <c r="E288" s="241">
        <v>2237.71955387766</v>
      </c>
      <c r="F288" s="242">
        <v>100</v>
      </c>
      <c r="G288" s="243">
        <v>0</v>
      </c>
    </row>
    <row r="289" spans="1:7" x14ac:dyDescent="0.3">
      <c r="A289" s="11" t="s">
        <v>6354</v>
      </c>
      <c r="B289" s="11" t="s">
        <v>6355</v>
      </c>
      <c r="C289" s="244">
        <v>1022</v>
      </c>
      <c r="D289" s="244">
        <v>312485.81658913998</v>
      </c>
      <c r="E289" s="245">
        <v>2237.7195538777401</v>
      </c>
      <c r="F289" s="246">
        <v>98.101551986494499</v>
      </c>
      <c r="G289" s="247">
        <v>0.70250792033406195</v>
      </c>
    </row>
    <row r="290" spans="1:7" x14ac:dyDescent="0.3">
      <c r="A290" s="6" t="s">
        <v>6354</v>
      </c>
      <c r="B290" s="6" t="s">
        <v>6356</v>
      </c>
      <c r="C290" s="240">
        <v>1049</v>
      </c>
      <c r="D290" s="240">
        <v>318533</v>
      </c>
      <c r="E290" s="241">
        <v>0</v>
      </c>
      <c r="F290" s="242">
        <v>100</v>
      </c>
      <c r="G290" s="243">
        <v>0</v>
      </c>
    </row>
    <row r="291" spans="1:7" x14ac:dyDescent="0.3">
      <c r="A291" s="3449" t="s">
        <v>891</v>
      </c>
      <c r="B291" s="3450"/>
      <c r="C291" s="3450"/>
      <c r="D291" s="3450"/>
      <c r="E291" s="3450"/>
      <c r="F291" s="3450"/>
      <c r="G291" s="3450"/>
    </row>
    <row r="292" spans="1:7" x14ac:dyDescent="0.3">
      <c r="A292" s="11" t="s">
        <v>1029</v>
      </c>
      <c r="B292" s="11" t="s">
        <v>1097</v>
      </c>
      <c r="C292" s="252">
        <v>426</v>
      </c>
      <c r="D292" s="252">
        <v>121031.87095594</v>
      </c>
      <c r="E292" s="253">
        <v>8365.7459358225497</v>
      </c>
      <c r="F292" s="254">
        <v>38.977774982568</v>
      </c>
      <c r="G292" s="255">
        <v>2.6922452742933198</v>
      </c>
    </row>
    <row r="293" spans="1:7" x14ac:dyDescent="0.3">
      <c r="A293" s="6" t="s">
        <v>1027</v>
      </c>
      <c r="B293" s="6" t="s">
        <v>1096</v>
      </c>
      <c r="C293" s="248">
        <v>327</v>
      </c>
      <c r="D293" s="248">
        <v>95338.319833564499</v>
      </c>
      <c r="E293" s="249">
        <v>8433.6461434837693</v>
      </c>
      <c r="F293" s="250">
        <v>30.703281279040699</v>
      </c>
      <c r="G293" s="251">
        <v>2.6864134330916198</v>
      </c>
    </row>
    <row r="294" spans="1:7" x14ac:dyDescent="0.3">
      <c r="A294" s="11" t="s">
        <v>1025</v>
      </c>
      <c r="B294" s="11" t="s">
        <v>6205</v>
      </c>
      <c r="C294" s="252">
        <v>155</v>
      </c>
      <c r="D294" s="252">
        <v>48543.145237334</v>
      </c>
      <c r="E294" s="253">
        <v>6592.6481389807605</v>
      </c>
      <c r="F294" s="254">
        <v>15.633103719397299</v>
      </c>
      <c r="G294" s="255">
        <v>2.1741047164090999</v>
      </c>
    </row>
    <row r="295" spans="1:7" x14ac:dyDescent="0.3">
      <c r="A295" s="6" t="s">
        <v>1023</v>
      </c>
      <c r="B295" s="6" t="s">
        <v>1094</v>
      </c>
      <c r="C295" s="248">
        <v>75</v>
      </c>
      <c r="D295" s="248">
        <v>28669.087306667399</v>
      </c>
      <c r="E295" s="249">
        <v>4979.1439582686398</v>
      </c>
      <c r="F295" s="250">
        <v>9.2327518790622598</v>
      </c>
      <c r="G295" s="251">
        <v>1.5809664020381</v>
      </c>
    </row>
    <row r="296" spans="1:7" x14ac:dyDescent="0.3">
      <c r="A296" s="11" t="s">
        <v>1021</v>
      </c>
      <c r="B296" s="11" t="s">
        <v>1093</v>
      </c>
      <c r="C296" s="252">
        <v>32</v>
      </c>
      <c r="D296" s="252">
        <v>16932.6612501292</v>
      </c>
      <c r="E296" s="253">
        <v>3704.9580111342002</v>
      </c>
      <c r="F296" s="254">
        <v>5.4530881399317304</v>
      </c>
      <c r="G296" s="255">
        <v>1.1845443568770599</v>
      </c>
    </row>
    <row r="297" spans="1:7" x14ac:dyDescent="0.3">
      <c r="A297" s="6" t="s">
        <v>1019</v>
      </c>
      <c r="B297" s="6" t="s">
        <v>1020</v>
      </c>
      <c r="C297" s="248">
        <v>33</v>
      </c>
      <c r="D297" s="248">
        <v>7963.5409302196704</v>
      </c>
      <c r="E297" s="249">
        <v>1707.0534716658401</v>
      </c>
      <c r="F297" s="250">
        <v>99.321837618366004</v>
      </c>
      <c r="G297" s="251">
        <v>0.71324175763159703</v>
      </c>
    </row>
    <row r="298" spans="1:7" x14ac:dyDescent="0.3">
      <c r="A298" s="11" t="s">
        <v>1017</v>
      </c>
      <c r="B298" s="11" t="s">
        <v>1018</v>
      </c>
      <c r="C298" s="252">
        <v>1</v>
      </c>
      <c r="D298" s="252">
        <v>54.374486145018999</v>
      </c>
      <c r="E298" s="253">
        <v>56.448899788022899</v>
      </c>
      <c r="F298" s="254">
        <v>0.67816238163400699</v>
      </c>
      <c r="G298" s="255">
        <v>0.71324175763159803</v>
      </c>
    </row>
    <row r="299" spans="1:7" x14ac:dyDescent="0.3">
      <c r="A299" s="6" t="s">
        <v>6354</v>
      </c>
      <c r="B299" s="6" t="s">
        <v>6355</v>
      </c>
      <c r="C299" s="248">
        <v>1015</v>
      </c>
      <c r="D299" s="248">
        <v>310515.08458363498</v>
      </c>
      <c r="E299" s="249">
        <v>1699.72923404072</v>
      </c>
      <c r="F299" s="250">
        <v>97.482861927535097</v>
      </c>
      <c r="G299" s="251">
        <v>0.53361166159884399</v>
      </c>
    </row>
    <row r="300" spans="1:7" x14ac:dyDescent="0.3">
      <c r="A300" s="11" t="s">
        <v>6354</v>
      </c>
      <c r="B300" s="11" t="s">
        <v>6356</v>
      </c>
      <c r="C300" s="252">
        <v>1049</v>
      </c>
      <c r="D300" s="252">
        <v>318533</v>
      </c>
      <c r="E300" s="253">
        <v>0</v>
      </c>
      <c r="F300" s="254">
        <v>100</v>
      </c>
      <c r="G300" s="255">
        <v>0</v>
      </c>
    </row>
    <row r="301" spans="1:7" x14ac:dyDescent="0.3">
      <c r="A301" s="3449" t="s">
        <v>53</v>
      </c>
      <c r="B301" s="3450"/>
      <c r="C301" s="3450"/>
      <c r="D301" s="3450"/>
      <c r="E301" s="3450"/>
      <c r="F301" s="3450"/>
      <c r="G301" s="3450"/>
    </row>
    <row r="302" spans="1:7" x14ac:dyDescent="0.3">
      <c r="A302" s="11" t="s">
        <v>1029</v>
      </c>
      <c r="B302" s="11" t="s">
        <v>1097</v>
      </c>
      <c r="C302" s="260">
        <v>525</v>
      </c>
      <c r="D302" s="260">
        <v>149512.20505025101</v>
      </c>
      <c r="E302" s="261">
        <v>9833.6090647439596</v>
      </c>
      <c r="F302" s="262">
        <v>48.388764994925801</v>
      </c>
      <c r="G302" s="263">
        <v>3.0163182720671098</v>
      </c>
    </row>
    <row r="303" spans="1:7" x14ac:dyDescent="0.3">
      <c r="A303" s="6" t="s">
        <v>1027</v>
      </c>
      <c r="B303" s="6" t="s">
        <v>1096</v>
      </c>
      <c r="C303" s="256">
        <v>285</v>
      </c>
      <c r="D303" s="256">
        <v>87499.416928522201</v>
      </c>
      <c r="E303" s="257">
        <v>7439.9551389140197</v>
      </c>
      <c r="F303" s="258">
        <v>28.318682889629301</v>
      </c>
      <c r="G303" s="259">
        <v>2.4049438721578902</v>
      </c>
    </row>
    <row r="304" spans="1:7" x14ac:dyDescent="0.3">
      <c r="A304" s="11" t="s">
        <v>1025</v>
      </c>
      <c r="B304" s="11" t="s">
        <v>1095</v>
      </c>
      <c r="C304" s="260">
        <v>156</v>
      </c>
      <c r="D304" s="260">
        <v>56867.362434426999</v>
      </c>
      <c r="E304" s="261">
        <v>6898.3932940335098</v>
      </c>
      <c r="F304" s="262">
        <v>18.404794684125601</v>
      </c>
      <c r="G304" s="263">
        <v>2.3163978653188799</v>
      </c>
    </row>
    <row r="305" spans="1:7" x14ac:dyDescent="0.3">
      <c r="A305" s="6" t="s">
        <v>1021</v>
      </c>
      <c r="B305" s="6" t="s">
        <v>1093</v>
      </c>
      <c r="C305" s="256">
        <v>18</v>
      </c>
      <c r="D305" s="256">
        <v>8317.3496266800994</v>
      </c>
      <c r="E305" s="257">
        <v>2738.8765984350298</v>
      </c>
      <c r="F305" s="258">
        <v>2.6918623555233299</v>
      </c>
      <c r="G305" s="259">
        <v>0.88566424345033401</v>
      </c>
    </row>
    <row r="306" spans="1:7" x14ac:dyDescent="0.3">
      <c r="A306" s="11" t="s">
        <v>1023</v>
      </c>
      <c r="B306" s="11" t="s">
        <v>1094</v>
      </c>
      <c r="C306" s="260">
        <v>23</v>
      </c>
      <c r="D306" s="260">
        <v>6784.9037865646196</v>
      </c>
      <c r="E306" s="261">
        <v>2290.76344534391</v>
      </c>
      <c r="F306" s="262">
        <v>2.1958950757960598</v>
      </c>
      <c r="G306" s="263">
        <v>0.737458515351608</v>
      </c>
    </row>
    <row r="307" spans="1:7" x14ac:dyDescent="0.3">
      <c r="A307" s="6" t="s">
        <v>1019</v>
      </c>
      <c r="B307" s="6" t="s">
        <v>1020</v>
      </c>
      <c r="C307" s="256">
        <v>42</v>
      </c>
      <c r="D307" s="256">
        <v>9551.7621735549201</v>
      </c>
      <c r="E307" s="257">
        <v>2370.2710486082001</v>
      </c>
      <c r="F307" s="258">
        <v>100</v>
      </c>
      <c r="G307" s="259">
        <v>0</v>
      </c>
    </row>
    <row r="308" spans="1:7" x14ac:dyDescent="0.3">
      <c r="A308" s="11" t="s">
        <v>6354</v>
      </c>
      <c r="B308" s="11" t="s">
        <v>6355</v>
      </c>
      <c r="C308" s="260">
        <v>1007</v>
      </c>
      <c r="D308" s="260">
        <v>308981.23782644502</v>
      </c>
      <c r="E308" s="261">
        <v>2370.2710486084302</v>
      </c>
      <c r="F308" s="262">
        <v>97.001327280515696</v>
      </c>
      <c r="G308" s="263">
        <v>0.74412103254866002</v>
      </c>
    </row>
    <row r="309" spans="1:7" x14ac:dyDescent="0.3">
      <c r="A309" s="6" t="s">
        <v>6354</v>
      </c>
      <c r="B309" s="6" t="s">
        <v>6356</v>
      </c>
      <c r="C309" s="256">
        <v>1049</v>
      </c>
      <c r="D309" s="256">
        <v>318533</v>
      </c>
      <c r="E309" s="257">
        <v>0</v>
      </c>
      <c r="F309" s="258">
        <v>100</v>
      </c>
      <c r="G309" s="259">
        <v>0</v>
      </c>
    </row>
    <row r="310" spans="1:7" x14ac:dyDescent="0.3">
      <c r="A310" s="3449" t="s">
        <v>545</v>
      </c>
      <c r="B310" s="3450"/>
      <c r="C310" s="3450"/>
      <c r="D310" s="3450"/>
      <c r="E310" s="3450"/>
      <c r="F310" s="3450"/>
      <c r="G310" s="3450"/>
    </row>
    <row r="311" spans="1:7" x14ac:dyDescent="0.3">
      <c r="A311" s="11" t="s">
        <v>1029</v>
      </c>
      <c r="B311" s="11" t="s">
        <v>1097</v>
      </c>
      <c r="C311" s="268">
        <v>539</v>
      </c>
      <c r="D311" s="268">
        <v>148048.133734309</v>
      </c>
      <c r="E311" s="269">
        <v>8086.1267884945401</v>
      </c>
      <c r="F311" s="270">
        <v>47.706538145537202</v>
      </c>
      <c r="G311" s="271">
        <v>2.4840430472548798</v>
      </c>
    </row>
    <row r="312" spans="1:7" x14ac:dyDescent="0.3">
      <c r="A312" s="6" t="s">
        <v>1027</v>
      </c>
      <c r="B312" s="6" t="s">
        <v>1096</v>
      </c>
      <c r="C312" s="264">
        <v>263</v>
      </c>
      <c r="D312" s="264">
        <v>89593.680614441095</v>
      </c>
      <c r="E312" s="265">
        <v>7641.1948047832002</v>
      </c>
      <c r="F312" s="266">
        <v>28.8703696157528</v>
      </c>
      <c r="G312" s="267">
        <v>2.4332802115911898</v>
      </c>
    </row>
    <row r="313" spans="1:7" x14ac:dyDescent="0.3">
      <c r="A313" s="11" t="s">
        <v>1025</v>
      </c>
      <c r="B313" s="11" t="s">
        <v>1095</v>
      </c>
      <c r="C313" s="268">
        <v>154</v>
      </c>
      <c r="D313" s="268">
        <v>47790.223841457497</v>
      </c>
      <c r="E313" s="269">
        <v>5371.0250192375697</v>
      </c>
      <c r="F313" s="270">
        <v>15.3997627607237</v>
      </c>
      <c r="G313" s="271">
        <v>1.7963900697534101</v>
      </c>
    </row>
    <row r="314" spans="1:7" x14ac:dyDescent="0.3">
      <c r="A314" s="6" t="s">
        <v>1021</v>
      </c>
      <c r="B314" s="6" t="s">
        <v>1093</v>
      </c>
      <c r="C314" s="264">
        <v>25</v>
      </c>
      <c r="D314" s="264">
        <v>13931.2798020069</v>
      </c>
      <c r="E314" s="265">
        <v>3017.4125408054501</v>
      </c>
      <c r="F314" s="266">
        <v>4.48916926223011</v>
      </c>
      <c r="G314" s="267">
        <v>0.95569547798420296</v>
      </c>
    </row>
    <row r="315" spans="1:7" x14ac:dyDescent="0.3">
      <c r="A315" s="11" t="s">
        <v>1023</v>
      </c>
      <c r="B315" s="11" t="s">
        <v>1094</v>
      </c>
      <c r="C315" s="268">
        <v>31</v>
      </c>
      <c r="D315" s="268">
        <v>10967.5915419509</v>
      </c>
      <c r="E315" s="269">
        <v>3453.3499915520902</v>
      </c>
      <c r="F315" s="270">
        <v>3.5341602157562102</v>
      </c>
      <c r="G315" s="271">
        <v>1.11411509275571</v>
      </c>
    </row>
    <row r="316" spans="1:7" x14ac:dyDescent="0.3">
      <c r="A316" s="6" t="s">
        <v>1019</v>
      </c>
      <c r="B316" s="6" t="s">
        <v>1020</v>
      </c>
      <c r="C316" s="264">
        <v>37</v>
      </c>
      <c r="D316" s="264">
        <v>8202.0904658345207</v>
      </c>
      <c r="E316" s="265">
        <v>2492.0827523289299</v>
      </c>
      <c r="F316" s="266">
        <v>100</v>
      </c>
      <c r="G316" s="267">
        <v>0</v>
      </c>
    </row>
    <row r="317" spans="1:7" x14ac:dyDescent="0.3">
      <c r="A317" s="11" t="s">
        <v>6354</v>
      </c>
      <c r="B317" s="11" t="s">
        <v>6355</v>
      </c>
      <c r="C317" s="268">
        <v>1012</v>
      </c>
      <c r="D317" s="268">
        <v>310330.909534165</v>
      </c>
      <c r="E317" s="269">
        <v>2492.0827523292</v>
      </c>
      <c r="F317" s="270">
        <v>97.425042157065505</v>
      </c>
      <c r="G317" s="271">
        <v>0.78236250320340694</v>
      </c>
    </row>
    <row r="318" spans="1:7" x14ac:dyDescent="0.3">
      <c r="A318" s="6" t="s">
        <v>6354</v>
      </c>
      <c r="B318" s="6" t="s">
        <v>6356</v>
      </c>
      <c r="C318" s="264">
        <v>1049</v>
      </c>
      <c r="D318" s="264">
        <v>318533</v>
      </c>
      <c r="E318" s="265">
        <v>0</v>
      </c>
      <c r="F318" s="266">
        <v>100</v>
      </c>
      <c r="G318" s="267">
        <v>0</v>
      </c>
    </row>
    <row r="319" spans="1:7" x14ac:dyDescent="0.3">
      <c r="A319" s="3449" t="s">
        <v>806</v>
      </c>
      <c r="B319" s="3450"/>
      <c r="C319" s="3450"/>
      <c r="D319" s="3450"/>
      <c r="E319" s="3450"/>
      <c r="F319" s="3450"/>
      <c r="G319" s="3450"/>
    </row>
    <row r="320" spans="1:7" x14ac:dyDescent="0.3">
      <c r="A320" s="11" t="s">
        <v>1023</v>
      </c>
      <c r="B320" s="11" t="s">
        <v>1107</v>
      </c>
      <c r="C320" s="276">
        <v>917</v>
      </c>
      <c r="D320" s="276">
        <v>266771.85872820998</v>
      </c>
      <c r="E320" s="277">
        <v>7183.76845984182</v>
      </c>
      <c r="F320" s="278">
        <v>83.750147937014205</v>
      </c>
      <c r="G320" s="279">
        <v>2.25526663166514</v>
      </c>
    </row>
    <row r="321" spans="1:7" x14ac:dyDescent="0.3">
      <c r="A321" s="6" t="s">
        <v>1021</v>
      </c>
      <c r="B321" s="6" t="s">
        <v>1106</v>
      </c>
      <c r="C321" s="272">
        <v>132</v>
      </c>
      <c r="D321" s="272">
        <v>51761.141271790402</v>
      </c>
      <c r="E321" s="273">
        <v>7183.7684598419601</v>
      </c>
      <c r="F321" s="274">
        <v>16.249852062985799</v>
      </c>
      <c r="G321" s="275">
        <v>2.25526663166514</v>
      </c>
    </row>
    <row r="322" spans="1:7" x14ac:dyDescent="0.3">
      <c r="A322" s="11" t="s">
        <v>6354</v>
      </c>
      <c r="B322" s="11" t="s">
        <v>6355</v>
      </c>
      <c r="C322" s="276">
        <v>1049</v>
      </c>
      <c r="D322" s="276">
        <v>318533</v>
      </c>
      <c r="E322" s="277">
        <v>9.8191929576156898E-10</v>
      </c>
      <c r="F322" s="278">
        <v>100</v>
      </c>
      <c r="G322" s="279">
        <v>1.45362315675074E-14</v>
      </c>
    </row>
    <row r="323" spans="1:7" x14ac:dyDescent="0.3">
      <c r="A323" s="6" t="s">
        <v>6354</v>
      </c>
      <c r="B323" s="6" t="s">
        <v>6356</v>
      </c>
      <c r="C323" s="272">
        <v>1049</v>
      </c>
      <c r="D323" s="272">
        <v>318533</v>
      </c>
      <c r="E323" s="273">
        <v>0</v>
      </c>
      <c r="F323" s="274">
        <v>100</v>
      </c>
      <c r="G323" s="275">
        <v>0</v>
      </c>
    </row>
    <row r="324" spans="1:7" x14ac:dyDescent="0.3">
      <c r="A324" s="3449" t="s">
        <v>16</v>
      </c>
      <c r="B324" s="3450"/>
      <c r="C324" s="3450"/>
      <c r="D324" s="3450"/>
      <c r="E324" s="3450"/>
      <c r="F324" s="3450"/>
      <c r="G324" s="3450"/>
    </row>
    <row r="325" spans="1:7" x14ac:dyDescent="0.3">
      <c r="A325" s="11" t="s">
        <v>1029</v>
      </c>
      <c r="B325" s="11" t="s">
        <v>1038</v>
      </c>
      <c r="C325" s="284">
        <v>470</v>
      </c>
      <c r="D325" s="284">
        <v>125865.579819652</v>
      </c>
      <c r="E325" s="285">
        <v>7165.0151714369504</v>
      </c>
      <c r="F325" s="286">
        <v>42.122413300279298</v>
      </c>
      <c r="G325" s="287">
        <v>2.6064260629602498</v>
      </c>
    </row>
    <row r="326" spans="1:7" x14ac:dyDescent="0.3">
      <c r="A326" s="6" t="s">
        <v>1021</v>
      </c>
      <c r="B326" s="6" t="s">
        <v>1034</v>
      </c>
      <c r="C326" s="280">
        <v>234</v>
      </c>
      <c r="D326" s="280">
        <v>85169.985792622901</v>
      </c>
      <c r="E326" s="281">
        <v>9221.5326522151499</v>
      </c>
      <c r="F326" s="282">
        <v>28.5031487359472</v>
      </c>
      <c r="G326" s="283">
        <v>2.9010355845001099</v>
      </c>
    </row>
    <row r="327" spans="1:7" x14ac:dyDescent="0.3">
      <c r="A327" s="11" t="s">
        <v>1027</v>
      </c>
      <c r="B327" s="11" t="s">
        <v>1037</v>
      </c>
      <c r="C327" s="284">
        <v>83</v>
      </c>
      <c r="D327" s="284">
        <v>25457.797634296901</v>
      </c>
      <c r="E327" s="285">
        <v>4178.6038926014799</v>
      </c>
      <c r="F327" s="286">
        <v>8.5197547669763694</v>
      </c>
      <c r="G327" s="287">
        <v>1.432115329575</v>
      </c>
    </row>
    <row r="328" spans="1:7" x14ac:dyDescent="0.3">
      <c r="A328" s="6" t="s">
        <v>1040</v>
      </c>
      <c r="B328" s="6" t="s">
        <v>1041</v>
      </c>
      <c r="C328" s="280">
        <v>65</v>
      </c>
      <c r="D328" s="280">
        <v>20069.386779081899</v>
      </c>
      <c r="E328" s="281">
        <v>3245.9359770609099</v>
      </c>
      <c r="F328" s="282">
        <v>6.7164589858716797</v>
      </c>
      <c r="G328" s="283">
        <v>1.0817130047444199</v>
      </c>
    </row>
    <row r="329" spans="1:7" x14ac:dyDescent="0.3">
      <c r="A329" s="11" t="s">
        <v>1023</v>
      </c>
      <c r="B329" s="11" t="s">
        <v>1035</v>
      </c>
      <c r="C329" s="284">
        <v>45</v>
      </c>
      <c r="D329" s="284">
        <v>14976.6767799512</v>
      </c>
      <c r="E329" s="285">
        <v>3183.4968343206401</v>
      </c>
      <c r="F329" s="286">
        <v>5.0121230132473604</v>
      </c>
      <c r="G329" s="287">
        <v>1.08544849895855</v>
      </c>
    </row>
    <row r="330" spans="1:7" x14ac:dyDescent="0.3">
      <c r="A330" s="6" t="s">
        <v>1025</v>
      </c>
      <c r="B330" s="6" t="s">
        <v>1036</v>
      </c>
      <c r="C330" s="280">
        <v>38</v>
      </c>
      <c r="D330" s="280">
        <v>13895.413851461401</v>
      </c>
      <c r="E330" s="281">
        <v>2574.4788275259798</v>
      </c>
      <c r="F330" s="282">
        <v>4.6502655139582201</v>
      </c>
      <c r="G330" s="283">
        <v>0.82580628310231496</v>
      </c>
    </row>
    <row r="331" spans="1:7" x14ac:dyDescent="0.3">
      <c r="A331" s="11" t="s">
        <v>1031</v>
      </c>
      <c r="B331" s="11" t="s">
        <v>1039</v>
      </c>
      <c r="C331" s="284">
        <v>23</v>
      </c>
      <c r="D331" s="284">
        <v>7595.2859796632602</v>
      </c>
      <c r="E331" s="285">
        <v>2433.60674868977</v>
      </c>
      <c r="F331" s="286">
        <v>2.5418527895204601</v>
      </c>
      <c r="G331" s="287">
        <v>0.81733987122937402</v>
      </c>
    </row>
    <row r="332" spans="1:7" x14ac:dyDescent="0.3">
      <c r="A332" s="6" t="s">
        <v>1042</v>
      </c>
      <c r="B332" s="6" t="s">
        <v>1043</v>
      </c>
      <c r="C332" s="280">
        <v>19</v>
      </c>
      <c r="D332" s="280">
        <v>5778.9157663974802</v>
      </c>
      <c r="E332" s="281">
        <v>2311.74300316469</v>
      </c>
      <c r="F332" s="282">
        <v>1.93398289419939</v>
      </c>
      <c r="G332" s="283">
        <v>0.77394447670956901</v>
      </c>
    </row>
    <row r="333" spans="1:7" x14ac:dyDescent="0.3">
      <c r="A333" s="11" t="s">
        <v>1015</v>
      </c>
      <c r="B333" s="11" t="s">
        <v>1016</v>
      </c>
      <c r="C333" s="284">
        <v>59</v>
      </c>
      <c r="D333" s="284">
        <v>13003.663758930699</v>
      </c>
      <c r="E333" s="285">
        <v>2166.4275005491299</v>
      </c>
      <c r="F333" s="286">
        <v>65.928268680685704</v>
      </c>
      <c r="G333" s="287">
        <v>7.5033318802430999</v>
      </c>
    </row>
    <row r="334" spans="1:7" x14ac:dyDescent="0.3">
      <c r="A334" s="6" t="s">
        <v>1017</v>
      </c>
      <c r="B334" s="6" t="s">
        <v>1018</v>
      </c>
      <c r="C334" s="280">
        <v>13</v>
      </c>
      <c r="D334" s="280">
        <v>6720.2938379419302</v>
      </c>
      <c r="E334" s="281">
        <v>2023.4466597241101</v>
      </c>
      <c r="F334" s="282">
        <v>34.071731319314303</v>
      </c>
      <c r="G334" s="283">
        <v>7.5033318802431097</v>
      </c>
    </row>
    <row r="335" spans="1:7" x14ac:dyDescent="0.3">
      <c r="A335" s="11" t="s">
        <v>6354</v>
      </c>
      <c r="B335" s="11" t="s">
        <v>6355</v>
      </c>
      <c r="C335" s="284">
        <v>977</v>
      </c>
      <c r="D335" s="284">
        <v>298809.04240312701</v>
      </c>
      <c r="E335" s="285">
        <v>3115.2234305311399</v>
      </c>
      <c r="F335" s="286">
        <v>93.807876233585603</v>
      </c>
      <c r="G335" s="287">
        <v>0.97799079860836502</v>
      </c>
    </row>
    <row r="336" spans="1:7" x14ac:dyDescent="0.3">
      <c r="A336" s="6" t="s">
        <v>6354</v>
      </c>
      <c r="B336" s="6" t="s">
        <v>6356</v>
      </c>
      <c r="C336" s="280">
        <v>1049</v>
      </c>
      <c r="D336" s="280">
        <v>318533</v>
      </c>
      <c r="E336" s="281">
        <v>0</v>
      </c>
      <c r="F336" s="282">
        <v>100</v>
      </c>
      <c r="G336" s="283">
        <v>0</v>
      </c>
    </row>
    <row r="337" spans="1:7" x14ac:dyDescent="0.3">
      <c r="A337" s="3449" t="s">
        <v>316</v>
      </c>
      <c r="B337" s="3450"/>
      <c r="C337" s="3450"/>
      <c r="D337" s="3450"/>
      <c r="E337" s="3450"/>
      <c r="F337" s="3450"/>
      <c r="G337" s="3450"/>
    </row>
    <row r="338" spans="1:7" x14ac:dyDescent="0.3">
      <c r="A338" s="11" t="s">
        <v>6357</v>
      </c>
      <c r="B338" s="11"/>
      <c r="C338" s="292">
        <v>130</v>
      </c>
      <c r="D338" s="292">
        <v>64919.401520172898</v>
      </c>
      <c r="E338" s="293">
        <v>7528.4730902236697</v>
      </c>
      <c r="F338" s="294">
        <v>20.3807459573021</v>
      </c>
      <c r="G338" s="295">
        <v>2.3634829327647902</v>
      </c>
    </row>
    <row r="339" spans="1:7" x14ac:dyDescent="0.3">
      <c r="A339" s="6" t="s">
        <v>6359</v>
      </c>
      <c r="B339" s="6"/>
      <c r="C339" s="288">
        <v>97</v>
      </c>
      <c r="D339" s="288">
        <v>41554.367993818298</v>
      </c>
      <c r="E339" s="289">
        <v>7151.58581055577</v>
      </c>
      <c r="F339" s="290">
        <v>13.045545671506</v>
      </c>
      <c r="G339" s="291">
        <v>2.2451632360087599</v>
      </c>
    </row>
    <row r="340" spans="1:7" x14ac:dyDescent="0.3">
      <c r="A340" s="11" t="s">
        <v>6358</v>
      </c>
      <c r="B340" s="11"/>
      <c r="C340" s="292">
        <v>59</v>
      </c>
      <c r="D340" s="292">
        <v>20583.6406302635</v>
      </c>
      <c r="E340" s="293">
        <v>6615.6604136661899</v>
      </c>
      <c r="F340" s="294">
        <v>6.4620119831425704</v>
      </c>
      <c r="G340" s="295">
        <v>2.0769152375628899</v>
      </c>
    </row>
    <row r="341" spans="1:7" x14ac:dyDescent="0.3">
      <c r="A341" s="6" t="s">
        <v>6360</v>
      </c>
      <c r="B341" s="6"/>
      <c r="C341" s="288">
        <v>48</v>
      </c>
      <c r="D341" s="288">
        <v>17300.7648889599</v>
      </c>
      <c r="E341" s="289">
        <v>2600.0211840460001</v>
      </c>
      <c r="F341" s="290">
        <v>5.4313885496824197</v>
      </c>
      <c r="G341" s="291">
        <v>0.81624860973462798</v>
      </c>
    </row>
    <row r="342" spans="1:7" x14ac:dyDescent="0.3">
      <c r="A342" s="11" t="s">
        <v>6361</v>
      </c>
      <c r="B342" s="11"/>
      <c r="C342" s="292">
        <v>36</v>
      </c>
      <c r="D342" s="292">
        <v>12194.3728963043</v>
      </c>
      <c r="E342" s="293">
        <v>2580.6695834203001</v>
      </c>
      <c r="F342" s="294">
        <v>3.8282918555704799</v>
      </c>
      <c r="G342" s="295">
        <v>0.810173383423474</v>
      </c>
    </row>
    <row r="343" spans="1:7" x14ac:dyDescent="0.3">
      <c r="A343" s="6" t="s">
        <v>6362</v>
      </c>
      <c r="B343" s="6"/>
      <c r="C343" s="288">
        <v>30</v>
      </c>
      <c r="D343" s="288">
        <v>11662.0095127405</v>
      </c>
      <c r="E343" s="289">
        <v>4407.9325346535497</v>
      </c>
      <c r="F343" s="290">
        <v>3.6611621127922298</v>
      </c>
      <c r="G343" s="291">
        <v>1.38382288009517</v>
      </c>
    </row>
    <row r="344" spans="1:7" x14ac:dyDescent="0.3">
      <c r="A344" s="11" t="s">
        <v>1063</v>
      </c>
      <c r="B344" s="11"/>
      <c r="C344" s="292">
        <v>40</v>
      </c>
      <c r="D344" s="292">
        <v>11137.7877530931</v>
      </c>
      <c r="E344" s="293">
        <v>3349.3663072630902</v>
      </c>
      <c r="F344" s="294">
        <v>3.4965883450358599</v>
      </c>
      <c r="G344" s="295">
        <v>1.0514974295482999</v>
      </c>
    </row>
    <row r="345" spans="1:7" x14ac:dyDescent="0.3">
      <c r="A345" s="6" t="s">
        <v>1222</v>
      </c>
      <c r="B345" s="6"/>
      <c r="C345" s="288">
        <v>33</v>
      </c>
      <c r="D345" s="288">
        <v>10377.15850892</v>
      </c>
      <c r="E345" s="289">
        <v>1881.89990579132</v>
      </c>
      <c r="F345" s="290">
        <v>3.2577969971462899</v>
      </c>
      <c r="G345" s="291">
        <v>0.59080217930051904</v>
      </c>
    </row>
    <row r="346" spans="1:7" x14ac:dyDescent="0.3">
      <c r="A346" s="11" t="s">
        <v>6364</v>
      </c>
      <c r="B346" s="11"/>
      <c r="C346" s="292">
        <v>42</v>
      </c>
      <c r="D346" s="292">
        <v>9593.3345736343108</v>
      </c>
      <c r="E346" s="293">
        <v>1786.6525249838801</v>
      </c>
      <c r="F346" s="294">
        <v>3.0117239261346</v>
      </c>
      <c r="G346" s="295">
        <v>0.56090029133053299</v>
      </c>
    </row>
    <row r="347" spans="1:7" x14ac:dyDescent="0.3">
      <c r="A347" s="6" t="s">
        <v>6365</v>
      </c>
      <c r="B347" s="6"/>
      <c r="C347" s="288">
        <v>29</v>
      </c>
      <c r="D347" s="288">
        <v>8837.2483859432796</v>
      </c>
      <c r="E347" s="289">
        <v>1836.1371753077201</v>
      </c>
      <c r="F347" s="290">
        <v>2.7743588218311102</v>
      </c>
      <c r="G347" s="291">
        <v>0.57643546361216103</v>
      </c>
    </row>
    <row r="348" spans="1:7" x14ac:dyDescent="0.3">
      <c r="A348" s="11" t="s">
        <v>1073</v>
      </c>
      <c r="B348" s="11"/>
      <c r="C348" s="292">
        <v>31</v>
      </c>
      <c r="D348" s="292">
        <v>8497.2449250400605</v>
      </c>
      <c r="E348" s="293">
        <v>2269.3619146368101</v>
      </c>
      <c r="F348" s="294">
        <v>2.66761840218755</v>
      </c>
      <c r="G348" s="295">
        <v>0.712441698234346</v>
      </c>
    </row>
    <row r="349" spans="1:7" x14ac:dyDescent="0.3">
      <c r="A349" s="6" t="s">
        <v>1071</v>
      </c>
      <c r="B349" s="6"/>
      <c r="C349" s="288">
        <v>21</v>
      </c>
      <c r="D349" s="288">
        <v>6452.2207746757304</v>
      </c>
      <c r="E349" s="289">
        <v>2804.0036674285998</v>
      </c>
      <c r="F349" s="290">
        <v>2.0256051255837599</v>
      </c>
      <c r="G349" s="291">
        <v>0.88028671045970197</v>
      </c>
    </row>
    <row r="350" spans="1:7" x14ac:dyDescent="0.3">
      <c r="A350" s="11" t="s">
        <v>6363</v>
      </c>
      <c r="B350" s="11"/>
      <c r="C350" s="292">
        <v>27</v>
      </c>
      <c r="D350" s="292">
        <v>6306.4949760830104</v>
      </c>
      <c r="E350" s="293">
        <v>1070.19490322041</v>
      </c>
      <c r="F350" s="294">
        <v>1.97985608275532</v>
      </c>
      <c r="G350" s="295">
        <v>0.33597614790945102</v>
      </c>
    </row>
    <row r="351" spans="1:7" x14ac:dyDescent="0.3">
      <c r="A351" s="6" t="s">
        <v>1065</v>
      </c>
      <c r="B351" s="6"/>
      <c r="C351" s="288">
        <v>27</v>
      </c>
      <c r="D351" s="288">
        <v>6302.1428555754901</v>
      </c>
      <c r="E351" s="289">
        <v>2246.58276800154</v>
      </c>
      <c r="F351" s="290">
        <v>1.9784897814592199</v>
      </c>
      <c r="G351" s="291">
        <v>0.70529043081926701</v>
      </c>
    </row>
    <row r="352" spans="1:7" x14ac:dyDescent="0.3">
      <c r="A352" s="11" t="s">
        <v>1075</v>
      </c>
      <c r="B352" s="11"/>
      <c r="C352" s="292">
        <v>34</v>
      </c>
      <c r="D352" s="292">
        <v>6030.4122219013498</v>
      </c>
      <c r="E352" s="293">
        <v>1077.3324180794</v>
      </c>
      <c r="F352" s="294">
        <v>1.89318287960787</v>
      </c>
      <c r="G352" s="295">
        <v>0.338216893721969</v>
      </c>
    </row>
    <row r="353" spans="1:7" x14ac:dyDescent="0.3">
      <c r="A353" s="6" t="s">
        <v>1069</v>
      </c>
      <c r="B353" s="6"/>
      <c r="C353" s="288">
        <v>26</v>
      </c>
      <c r="D353" s="288">
        <v>5497.04436732056</v>
      </c>
      <c r="E353" s="289">
        <v>2558.4257814728799</v>
      </c>
      <c r="F353" s="290">
        <v>1.72573779398699</v>
      </c>
      <c r="G353" s="291">
        <v>0.80319018169950396</v>
      </c>
    </row>
    <row r="354" spans="1:7" x14ac:dyDescent="0.3">
      <c r="A354" s="11" t="s">
        <v>1077</v>
      </c>
      <c r="B354" s="11"/>
      <c r="C354" s="292">
        <v>20</v>
      </c>
      <c r="D354" s="292">
        <v>5113.3616793088704</v>
      </c>
      <c r="E354" s="293">
        <v>1747.0450185182499</v>
      </c>
      <c r="F354" s="294">
        <v>1.6052847520692901</v>
      </c>
      <c r="G354" s="295">
        <v>0.54846594183907205</v>
      </c>
    </row>
    <row r="355" spans="1:7" x14ac:dyDescent="0.3">
      <c r="A355" s="6" t="s">
        <v>1067</v>
      </c>
      <c r="B355" s="6"/>
      <c r="C355" s="288">
        <v>23</v>
      </c>
      <c r="D355" s="288">
        <v>4976.6294948095901</v>
      </c>
      <c r="E355" s="289">
        <v>755.67684481644301</v>
      </c>
      <c r="F355" s="290">
        <v>1.5623591573901601</v>
      </c>
      <c r="G355" s="291">
        <v>0.23723659552273799</v>
      </c>
    </row>
    <row r="356" spans="1:7" x14ac:dyDescent="0.3">
      <c r="A356" s="11" t="s">
        <v>1120</v>
      </c>
      <c r="B356" s="11"/>
      <c r="C356" s="292">
        <v>12</v>
      </c>
      <c r="D356" s="292">
        <v>4757.5392781479804</v>
      </c>
      <c r="E356" s="293">
        <v>1579.9983952233799</v>
      </c>
      <c r="F356" s="294">
        <v>1.4935781467376901</v>
      </c>
      <c r="G356" s="295">
        <v>0.496023456038582</v>
      </c>
    </row>
    <row r="357" spans="1:7" x14ac:dyDescent="0.3">
      <c r="A357" s="6" t="s">
        <v>1081</v>
      </c>
      <c r="B357" s="6"/>
      <c r="C357" s="288">
        <v>15</v>
      </c>
      <c r="D357" s="288">
        <v>4278.2653119100196</v>
      </c>
      <c r="E357" s="289">
        <v>1858.08909100595</v>
      </c>
      <c r="F357" s="290">
        <v>1.3431152539642801</v>
      </c>
      <c r="G357" s="291">
        <v>0.58332703079616599</v>
      </c>
    </row>
    <row r="358" spans="1:7" x14ac:dyDescent="0.3">
      <c r="A358" s="11" t="s">
        <v>1118</v>
      </c>
      <c r="B358" s="11"/>
      <c r="C358" s="292">
        <v>16</v>
      </c>
      <c r="D358" s="292">
        <v>4080.7458234877299</v>
      </c>
      <c r="E358" s="293">
        <v>1235.06803271371</v>
      </c>
      <c r="F358" s="294">
        <v>1.28110614080417</v>
      </c>
      <c r="G358" s="295">
        <v>0.387736288771872</v>
      </c>
    </row>
    <row r="359" spans="1:7" x14ac:dyDescent="0.3">
      <c r="A359" s="6" t="s">
        <v>1224</v>
      </c>
      <c r="B359" s="6"/>
      <c r="C359" s="288">
        <v>18</v>
      </c>
      <c r="D359" s="288">
        <v>4043.2038777314301</v>
      </c>
      <c r="E359" s="289">
        <v>1603.9535617641</v>
      </c>
      <c r="F359" s="290">
        <v>1.26932025182051</v>
      </c>
      <c r="G359" s="291">
        <v>0.50354392221970801</v>
      </c>
    </row>
    <row r="360" spans="1:7" x14ac:dyDescent="0.3">
      <c r="A360" s="11" t="s">
        <v>3099</v>
      </c>
      <c r="B360" s="11"/>
      <c r="C360" s="292">
        <v>16</v>
      </c>
      <c r="D360" s="292">
        <v>4002.5668833800901</v>
      </c>
      <c r="E360" s="293">
        <v>1100.71661940933</v>
      </c>
      <c r="F360" s="294">
        <v>1.25656270571027</v>
      </c>
      <c r="G360" s="295">
        <v>0.345558111532974</v>
      </c>
    </row>
    <row r="361" spans="1:7" x14ac:dyDescent="0.3">
      <c r="A361" s="6" t="s">
        <v>1116</v>
      </c>
      <c r="B361" s="6"/>
      <c r="C361" s="288">
        <v>13</v>
      </c>
      <c r="D361" s="288">
        <v>3661.8566857395499</v>
      </c>
      <c r="E361" s="289">
        <v>1282.65834243534</v>
      </c>
      <c r="F361" s="290">
        <v>1.1496004136901199</v>
      </c>
      <c r="G361" s="291">
        <v>0.40267675325173302</v>
      </c>
    </row>
    <row r="362" spans="1:7" x14ac:dyDescent="0.3">
      <c r="A362" s="11" t="s">
        <v>1079</v>
      </c>
      <c r="B362" s="11"/>
      <c r="C362" s="292">
        <v>22</v>
      </c>
      <c r="D362" s="292">
        <v>3538.4555975028102</v>
      </c>
      <c r="E362" s="293">
        <v>1073.06041072123</v>
      </c>
      <c r="F362" s="294">
        <v>1.11085997290793</v>
      </c>
      <c r="G362" s="295">
        <v>0.336875743085091</v>
      </c>
    </row>
    <row r="363" spans="1:7" x14ac:dyDescent="0.3">
      <c r="A363" s="6" t="s">
        <v>1114</v>
      </c>
      <c r="B363" s="6"/>
      <c r="C363" s="288">
        <v>15</v>
      </c>
      <c r="D363" s="288">
        <v>3144.2480718563702</v>
      </c>
      <c r="E363" s="289">
        <v>1514.67474190194</v>
      </c>
      <c r="F363" s="290">
        <v>0.98710277172423999</v>
      </c>
      <c r="G363" s="291">
        <v>0.47551579958809198</v>
      </c>
    </row>
    <row r="364" spans="1:7" x14ac:dyDescent="0.3">
      <c r="A364" s="11" t="s">
        <v>3105</v>
      </c>
      <c r="B364" s="11"/>
      <c r="C364" s="292">
        <v>12</v>
      </c>
      <c r="D364" s="292">
        <v>2908.1621297280299</v>
      </c>
      <c r="E364" s="293">
        <v>1768.5017368921799</v>
      </c>
      <c r="F364" s="294">
        <v>0.91298613635888104</v>
      </c>
      <c r="G364" s="295">
        <v>0.55520204716377297</v>
      </c>
    </row>
    <row r="365" spans="1:7" x14ac:dyDescent="0.3">
      <c r="A365" s="6" t="s">
        <v>1226</v>
      </c>
      <c r="B365" s="6"/>
      <c r="C365" s="288">
        <v>11</v>
      </c>
      <c r="D365" s="288">
        <v>2586.2344642723101</v>
      </c>
      <c r="E365" s="289">
        <v>1252.7334897217199</v>
      </c>
      <c r="F365" s="290">
        <v>0.81192041775022195</v>
      </c>
      <c r="G365" s="291">
        <v>0.39328216847915898</v>
      </c>
    </row>
    <row r="366" spans="1:7" x14ac:dyDescent="0.3">
      <c r="A366" s="11" t="s">
        <v>1124</v>
      </c>
      <c r="B366" s="11"/>
      <c r="C366" s="292">
        <v>8</v>
      </c>
      <c r="D366" s="292">
        <v>2112.1862278411199</v>
      </c>
      <c r="E366" s="293">
        <v>1067.8882307399799</v>
      </c>
      <c r="F366" s="294">
        <v>0.66309808649060598</v>
      </c>
      <c r="G366" s="295">
        <v>0.33525199296147701</v>
      </c>
    </row>
    <row r="367" spans="1:7" x14ac:dyDescent="0.3">
      <c r="A367" s="6" t="s">
        <v>3114</v>
      </c>
      <c r="B367" s="6"/>
      <c r="C367" s="288">
        <v>11</v>
      </c>
      <c r="D367" s="288">
        <v>1902.25634770836</v>
      </c>
      <c r="E367" s="289">
        <v>1121.9523612502901</v>
      </c>
      <c r="F367" s="290">
        <v>0.59719286469796395</v>
      </c>
      <c r="G367" s="291">
        <v>0.35222484365836298</v>
      </c>
    </row>
    <row r="368" spans="1:7" x14ac:dyDescent="0.3">
      <c r="A368" s="11" t="s">
        <v>3101</v>
      </c>
      <c r="B368" s="11"/>
      <c r="C368" s="292">
        <v>11</v>
      </c>
      <c r="D368" s="292">
        <v>1705.7878442460501</v>
      </c>
      <c r="E368" s="293">
        <v>678.78422600315605</v>
      </c>
      <c r="F368" s="294">
        <v>0.53551369693126005</v>
      </c>
      <c r="G368" s="295">
        <v>0.21309698712634401</v>
      </c>
    </row>
    <row r="369" spans="1:7" x14ac:dyDescent="0.3">
      <c r="A369" s="6" t="s">
        <v>3107</v>
      </c>
      <c r="B369" s="6"/>
      <c r="C369" s="288">
        <v>6</v>
      </c>
      <c r="D369" s="288">
        <v>1521.63912153878</v>
      </c>
      <c r="E369" s="289">
        <v>702.08826971192002</v>
      </c>
      <c r="F369" s="290">
        <v>0.47770219146486498</v>
      </c>
      <c r="G369" s="291">
        <v>0.22041304031667699</v>
      </c>
    </row>
    <row r="370" spans="1:7" x14ac:dyDescent="0.3">
      <c r="A370" s="11" t="s">
        <v>1132</v>
      </c>
      <c r="B370" s="11"/>
      <c r="C370" s="292">
        <v>7</v>
      </c>
      <c r="D370" s="292">
        <v>1473.7566166623999</v>
      </c>
      <c r="E370" s="293">
        <v>984.42187907825905</v>
      </c>
      <c r="F370" s="294">
        <v>0.46266999546747101</v>
      </c>
      <c r="G370" s="295">
        <v>0.309048632034439</v>
      </c>
    </row>
    <row r="371" spans="1:7" x14ac:dyDescent="0.3">
      <c r="A371" s="6" t="s">
        <v>3122</v>
      </c>
      <c r="B371" s="6"/>
      <c r="C371" s="288">
        <v>6</v>
      </c>
      <c r="D371" s="288">
        <v>1287.5733068890299</v>
      </c>
      <c r="E371" s="289">
        <v>874.93359681479296</v>
      </c>
      <c r="F371" s="290">
        <v>0.40421975333451599</v>
      </c>
      <c r="G371" s="291">
        <v>0.27467596663918398</v>
      </c>
    </row>
    <row r="372" spans="1:7" x14ac:dyDescent="0.3">
      <c r="A372" s="11" t="s">
        <v>3118</v>
      </c>
      <c r="B372" s="11"/>
      <c r="C372" s="292">
        <v>6</v>
      </c>
      <c r="D372" s="292">
        <v>1230.5673432376</v>
      </c>
      <c r="E372" s="293">
        <v>686.19841516290501</v>
      </c>
      <c r="F372" s="294">
        <v>0.38632334585038303</v>
      </c>
      <c r="G372" s="295">
        <v>0.215424591851678</v>
      </c>
    </row>
    <row r="373" spans="1:7" x14ac:dyDescent="0.3">
      <c r="A373" s="6" t="s">
        <v>1122</v>
      </c>
      <c r="B373" s="6"/>
      <c r="C373" s="288">
        <v>10</v>
      </c>
      <c r="D373" s="288">
        <v>1222.3930391097899</v>
      </c>
      <c r="E373" s="289">
        <v>529.61615543927496</v>
      </c>
      <c r="F373" s="290">
        <v>0.38375711122859801</v>
      </c>
      <c r="G373" s="291">
        <v>0.166267280137152</v>
      </c>
    </row>
    <row r="374" spans="1:7" x14ac:dyDescent="0.3">
      <c r="A374" s="11" t="s">
        <v>3116</v>
      </c>
      <c r="B374" s="11"/>
      <c r="C374" s="292">
        <v>11</v>
      </c>
      <c r="D374" s="292">
        <v>983.27091066341995</v>
      </c>
      <c r="E374" s="293">
        <v>756.50443378306397</v>
      </c>
      <c r="F374" s="294">
        <v>0.30868729791369198</v>
      </c>
      <c r="G374" s="295">
        <v>0.237496408153336</v>
      </c>
    </row>
    <row r="375" spans="1:7" x14ac:dyDescent="0.3">
      <c r="A375" s="6" t="s">
        <v>3136</v>
      </c>
      <c r="B375" s="6"/>
      <c r="C375" s="288">
        <v>3</v>
      </c>
      <c r="D375" s="288">
        <v>916.38605368083597</v>
      </c>
      <c r="E375" s="289">
        <v>748.31479083461295</v>
      </c>
      <c r="F375" s="290">
        <v>0.28768951841122797</v>
      </c>
      <c r="G375" s="291">
        <v>0.23492535807423801</v>
      </c>
    </row>
    <row r="376" spans="1:7" x14ac:dyDescent="0.3">
      <c r="A376" s="11" t="s">
        <v>3120</v>
      </c>
      <c r="B376" s="11"/>
      <c r="C376" s="292">
        <v>7</v>
      </c>
      <c r="D376" s="292">
        <v>916.27405701570001</v>
      </c>
      <c r="E376" s="293">
        <v>447.10731657722698</v>
      </c>
      <c r="F376" s="294">
        <v>0.28765435826608199</v>
      </c>
      <c r="G376" s="295">
        <v>0.14036452002688099</v>
      </c>
    </row>
    <row r="377" spans="1:7" x14ac:dyDescent="0.3">
      <c r="A377" s="6" t="s">
        <v>3128</v>
      </c>
      <c r="B377" s="6"/>
      <c r="C377" s="288">
        <v>8</v>
      </c>
      <c r="D377" s="288">
        <v>906.89578067004504</v>
      </c>
      <c r="E377" s="289">
        <v>396.101311966992</v>
      </c>
      <c r="F377" s="290">
        <v>0.28471014955123802</v>
      </c>
      <c r="G377" s="291">
        <v>0.12435173497471</v>
      </c>
    </row>
    <row r="378" spans="1:7" x14ac:dyDescent="0.3">
      <c r="A378" s="11" t="s">
        <v>3142</v>
      </c>
      <c r="B378" s="11"/>
      <c r="C378" s="292">
        <v>1</v>
      </c>
      <c r="D378" s="292">
        <v>794.89093327165006</v>
      </c>
      <c r="E378" s="293">
        <v>832.07205596337201</v>
      </c>
      <c r="F378" s="294">
        <v>0.24954743567280299</v>
      </c>
      <c r="G378" s="295">
        <v>0.26122004814677702</v>
      </c>
    </row>
    <row r="379" spans="1:7" x14ac:dyDescent="0.3">
      <c r="A379" s="6" t="s">
        <v>1134</v>
      </c>
      <c r="B379" s="6"/>
      <c r="C379" s="288">
        <v>7</v>
      </c>
      <c r="D379" s="288">
        <v>724.90170277304003</v>
      </c>
      <c r="E379" s="289">
        <v>441.89803895633798</v>
      </c>
      <c r="F379" s="290">
        <v>0.22757507158537399</v>
      </c>
      <c r="G379" s="291">
        <v>0.138729123499398</v>
      </c>
    </row>
    <row r="380" spans="1:7" x14ac:dyDescent="0.3">
      <c r="A380" s="11" t="s">
        <v>1136</v>
      </c>
      <c r="B380" s="11"/>
      <c r="C380" s="292">
        <v>4</v>
      </c>
      <c r="D380" s="292">
        <v>690.49071005060102</v>
      </c>
      <c r="E380" s="293">
        <v>558.14493217736106</v>
      </c>
      <c r="F380" s="294">
        <v>0.21677211153965201</v>
      </c>
      <c r="G380" s="295">
        <v>0.175223581913761</v>
      </c>
    </row>
    <row r="381" spans="1:7" x14ac:dyDescent="0.3">
      <c r="A381" s="6" t="s">
        <v>3103</v>
      </c>
      <c r="B381" s="6"/>
      <c r="C381" s="288">
        <v>9</v>
      </c>
      <c r="D381" s="288">
        <v>686.74619338931302</v>
      </c>
      <c r="E381" s="289">
        <v>305.11499568290702</v>
      </c>
      <c r="F381" s="290">
        <v>0.21559656091811899</v>
      </c>
      <c r="G381" s="291">
        <v>9.57875622566286E-2</v>
      </c>
    </row>
    <row r="382" spans="1:7" x14ac:dyDescent="0.3">
      <c r="A382" s="11" t="s">
        <v>1128</v>
      </c>
      <c r="B382" s="11"/>
      <c r="C382" s="292">
        <v>4</v>
      </c>
      <c r="D382" s="292">
        <v>649.94039495390098</v>
      </c>
      <c r="E382" s="293">
        <v>381.53412192997001</v>
      </c>
      <c r="F382" s="294">
        <v>0.20404177744657601</v>
      </c>
      <c r="G382" s="295">
        <v>0.119778522768432</v>
      </c>
    </row>
    <row r="383" spans="1:7" x14ac:dyDescent="0.3">
      <c r="A383" s="6" t="s">
        <v>6397</v>
      </c>
      <c r="B383" s="6"/>
      <c r="C383" s="288">
        <v>1</v>
      </c>
      <c r="D383" s="288">
        <v>625.88745447018403</v>
      </c>
      <c r="E383" s="289">
        <v>638.823658325005</v>
      </c>
      <c r="F383" s="290">
        <v>0.19649061619053099</v>
      </c>
      <c r="G383" s="291">
        <v>0.20055179787494701</v>
      </c>
    </row>
    <row r="384" spans="1:7" x14ac:dyDescent="0.3">
      <c r="A384" s="11" t="s">
        <v>3130</v>
      </c>
      <c r="B384" s="11"/>
      <c r="C384" s="292">
        <v>3</v>
      </c>
      <c r="D384" s="292">
        <v>609.24655612781896</v>
      </c>
      <c r="E384" s="293">
        <v>377.75133385644602</v>
      </c>
      <c r="F384" s="294">
        <v>0.19126638562654999</v>
      </c>
      <c r="G384" s="295">
        <v>0.118590957249781</v>
      </c>
    </row>
    <row r="385" spans="1:7" x14ac:dyDescent="0.3">
      <c r="A385" s="6" t="s">
        <v>1126</v>
      </c>
      <c r="B385" s="6"/>
      <c r="C385" s="288">
        <v>3</v>
      </c>
      <c r="D385" s="288">
        <v>556.07698952597605</v>
      </c>
      <c r="E385" s="289">
        <v>510.31496840285701</v>
      </c>
      <c r="F385" s="290">
        <v>0.174574373620936</v>
      </c>
      <c r="G385" s="291">
        <v>0.16020788062864999</v>
      </c>
    </row>
    <row r="386" spans="1:7" x14ac:dyDescent="0.3">
      <c r="A386" s="11" t="s">
        <v>3134</v>
      </c>
      <c r="B386" s="11"/>
      <c r="C386" s="292">
        <v>2</v>
      </c>
      <c r="D386" s="292">
        <v>536.61305218011398</v>
      </c>
      <c r="E386" s="293">
        <v>554.44271196931697</v>
      </c>
      <c r="F386" s="294">
        <v>0.16846388040803101</v>
      </c>
      <c r="G386" s="295">
        <v>0.17406130980756099</v>
      </c>
    </row>
    <row r="387" spans="1:7" x14ac:dyDescent="0.3">
      <c r="A387" s="6" t="s">
        <v>1150</v>
      </c>
      <c r="B387" s="6"/>
      <c r="C387" s="288">
        <v>2</v>
      </c>
      <c r="D387" s="288">
        <v>470.38212558413801</v>
      </c>
      <c r="E387" s="289">
        <v>357.17844351353199</v>
      </c>
      <c r="F387" s="290">
        <v>0.147671395297862</v>
      </c>
      <c r="G387" s="291">
        <v>0.112132320203411</v>
      </c>
    </row>
    <row r="388" spans="1:7" x14ac:dyDescent="0.3">
      <c r="A388" s="11" t="s">
        <v>1130</v>
      </c>
      <c r="B388" s="11"/>
      <c r="C388" s="292">
        <v>4</v>
      </c>
      <c r="D388" s="292">
        <v>404.86218688568403</v>
      </c>
      <c r="E388" s="293">
        <v>307.76040477158699</v>
      </c>
      <c r="F388" s="294">
        <v>0.127102117170178</v>
      </c>
      <c r="G388" s="295">
        <v>9.6618059909518494E-2</v>
      </c>
    </row>
    <row r="389" spans="1:7" x14ac:dyDescent="0.3">
      <c r="A389" s="6" t="s">
        <v>1230</v>
      </c>
      <c r="B389" s="6"/>
      <c r="C389" s="288">
        <v>2</v>
      </c>
      <c r="D389" s="288">
        <v>394.95072332823401</v>
      </c>
      <c r="E389" s="289">
        <v>355.92105601296402</v>
      </c>
      <c r="F389" s="290">
        <v>0.123990520080567</v>
      </c>
      <c r="G389" s="291">
        <v>0.11173757695842</v>
      </c>
    </row>
    <row r="390" spans="1:7" x14ac:dyDescent="0.3">
      <c r="A390" s="11" t="s">
        <v>3132</v>
      </c>
      <c r="B390" s="11"/>
      <c r="C390" s="292">
        <v>2</v>
      </c>
      <c r="D390" s="292">
        <v>343.18427786761299</v>
      </c>
      <c r="E390" s="293">
        <v>291.41693629220202</v>
      </c>
      <c r="F390" s="294">
        <v>0.107739002824704</v>
      </c>
      <c r="G390" s="295">
        <v>9.1487204243265799E-2</v>
      </c>
    </row>
    <row r="391" spans="1:7" x14ac:dyDescent="0.3">
      <c r="A391" s="6" t="s">
        <v>3144</v>
      </c>
      <c r="B391" s="6"/>
      <c r="C391" s="288">
        <v>1</v>
      </c>
      <c r="D391" s="288">
        <v>257.645258017689</v>
      </c>
      <c r="E391" s="289">
        <v>270.99438684651898</v>
      </c>
      <c r="F391" s="290">
        <v>8.0884950073521103E-2</v>
      </c>
      <c r="G391" s="291">
        <v>8.5075765100168302E-2</v>
      </c>
    </row>
    <row r="392" spans="1:7" x14ac:dyDescent="0.3">
      <c r="A392" s="11" t="s">
        <v>3254</v>
      </c>
      <c r="B392" s="11"/>
      <c r="C392" s="292">
        <v>1</v>
      </c>
      <c r="D392" s="292">
        <v>147.40636046062801</v>
      </c>
      <c r="E392" s="293">
        <v>157.089826692054</v>
      </c>
      <c r="F392" s="294">
        <v>4.6276637102161497E-2</v>
      </c>
      <c r="G392" s="295">
        <v>4.9316656890197902E-2</v>
      </c>
    </row>
    <row r="393" spans="1:7" x14ac:dyDescent="0.3">
      <c r="A393" s="6" t="s">
        <v>3250</v>
      </c>
      <c r="B393" s="6"/>
      <c r="C393" s="288">
        <v>1</v>
      </c>
      <c r="D393" s="288">
        <v>86.136892260651507</v>
      </c>
      <c r="E393" s="289">
        <v>93.810516219110696</v>
      </c>
      <c r="F393" s="290">
        <v>2.7041748346529702E-2</v>
      </c>
      <c r="G393" s="291">
        <v>2.9450799828937901E-2</v>
      </c>
    </row>
    <row r="394" spans="1:7" x14ac:dyDescent="0.3">
      <c r="A394" s="11" t="s">
        <v>1144</v>
      </c>
      <c r="B394" s="11"/>
      <c r="C394" s="292">
        <v>2</v>
      </c>
      <c r="D394" s="292">
        <v>37.735457268423303</v>
      </c>
      <c r="E394" s="293">
        <v>40.702511399415997</v>
      </c>
      <c r="F394" s="294">
        <v>1.1846639835879901E-2</v>
      </c>
      <c r="G394" s="295">
        <v>1.27781144808908E-2</v>
      </c>
    </row>
    <row r="395" spans="1:7" x14ac:dyDescent="0.3">
      <c r="A395" s="6" t="s">
        <v>6354</v>
      </c>
      <c r="B395" s="6" t="s">
        <v>6355</v>
      </c>
      <c r="C395" s="288">
        <v>1046</v>
      </c>
      <c r="D395" s="288">
        <v>318533</v>
      </c>
      <c r="E395" s="289">
        <v>1.08584983426714E-9</v>
      </c>
      <c r="F395" s="290">
        <v>100</v>
      </c>
      <c r="G395" s="291">
        <v>2.29838001744816E-14</v>
      </c>
    </row>
    <row r="396" spans="1:7" x14ac:dyDescent="0.3">
      <c r="A396" s="11" t="s">
        <v>6354</v>
      </c>
      <c r="B396" s="11" t="s">
        <v>6356</v>
      </c>
      <c r="C396" s="292">
        <v>1046</v>
      </c>
      <c r="D396" s="292">
        <v>318533</v>
      </c>
      <c r="E396" s="293">
        <v>0</v>
      </c>
      <c r="F396" s="294">
        <v>100</v>
      </c>
      <c r="G396" s="295">
        <v>0</v>
      </c>
    </row>
    <row r="397" spans="1:7" x14ac:dyDescent="0.3">
      <c r="A397" s="3449" t="s">
        <v>696</v>
      </c>
      <c r="B397" s="3450"/>
      <c r="C397" s="3450"/>
      <c r="D397" s="3450"/>
      <c r="E397" s="3450"/>
      <c r="F397" s="3450"/>
      <c r="G397" s="3450"/>
    </row>
    <row r="398" spans="1:7" x14ac:dyDescent="0.3">
      <c r="A398" s="11" t="s">
        <v>1021</v>
      </c>
      <c r="B398" s="11" t="s">
        <v>1106</v>
      </c>
      <c r="C398" s="300">
        <v>700</v>
      </c>
      <c r="D398" s="300">
        <v>196268.73328960099</v>
      </c>
      <c r="E398" s="301">
        <v>5933.6586930665999</v>
      </c>
      <c r="F398" s="302">
        <v>65.823748626139604</v>
      </c>
      <c r="G398" s="303">
        <v>1.9900032690182701</v>
      </c>
    </row>
    <row r="399" spans="1:7" x14ac:dyDescent="0.3">
      <c r="A399" s="6" t="s">
        <v>1023</v>
      </c>
      <c r="B399" s="6" t="s">
        <v>1107</v>
      </c>
      <c r="C399" s="296">
        <v>296</v>
      </c>
      <c r="D399" s="296">
        <v>101904.399335148</v>
      </c>
      <c r="E399" s="297">
        <v>5933.6515176384301</v>
      </c>
      <c r="F399" s="298">
        <v>34.176251373860403</v>
      </c>
      <c r="G399" s="299">
        <v>1.9900032690182701</v>
      </c>
    </row>
    <row r="400" spans="1:7" x14ac:dyDescent="0.3">
      <c r="A400" s="11" t="s">
        <v>1019</v>
      </c>
      <c r="B400" s="11" t="s">
        <v>1020</v>
      </c>
      <c r="C400" s="300">
        <v>52</v>
      </c>
      <c r="D400" s="300">
        <v>20359.8673752506</v>
      </c>
      <c r="E400" s="301">
        <v>0.58052918697559397</v>
      </c>
      <c r="F400" s="302">
        <v>100</v>
      </c>
      <c r="G400" s="303">
        <v>0</v>
      </c>
    </row>
    <row r="401" spans="1:7" x14ac:dyDescent="0.3">
      <c r="A401" s="6" t="s">
        <v>6354</v>
      </c>
      <c r="B401" s="6" t="s">
        <v>6355</v>
      </c>
      <c r="C401" s="296">
        <v>996</v>
      </c>
      <c r="D401" s="296">
        <v>298173.13262474898</v>
      </c>
      <c r="E401" s="297">
        <v>0.58052918780819995</v>
      </c>
      <c r="F401" s="298">
        <v>93.608239216894106</v>
      </c>
      <c r="G401" s="299">
        <v>1.82250877364738E-4</v>
      </c>
    </row>
    <row r="402" spans="1:7" x14ac:dyDescent="0.3">
      <c r="A402" s="11" t="s">
        <v>6354</v>
      </c>
      <c r="B402" s="11" t="s">
        <v>6356</v>
      </c>
      <c r="C402" s="300">
        <v>1048</v>
      </c>
      <c r="D402" s="300">
        <v>318533</v>
      </c>
      <c r="E402" s="301">
        <v>0</v>
      </c>
      <c r="F402" s="302">
        <v>100</v>
      </c>
      <c r="G402" s="303">
        <v>0</v>
      </c>
    </row>
    <row r="403" spans="1:7" x14ac:dyDescent="0.3">
      <c r="A403" s="3449" t="s">
        <v>346</v>
      </c>
      <c r="B403" s="3450"/>
      <c r="C403" s="3450"/>
      <c r="D403" s="3450"/>
      <c r="E403" s="3450"/>
      <c r="F403" s="3450"/>
      <c r="G403" s="3450"/>
    </row>
    <row r="404" spans="1:7" x14ac:dyDescent="0.3">
      <c r="A404" s="11" t="s">
        <v>1021</v>
      </c>
      <c r="B404" s="11" t="s">
        <v>3170</v>
      </c>
      <c r="C404" s="308">
        <v>314</v>
      </c>
      <c r="D404" s="308">
        <v>86154.452582878497</v>
      </c>
      <c r="E404" s="309">
        <v>4370.1586242250796</v>
      </c>
      <c r="F404" s="310">
        <v>100</v>
      </c>
      <c r="G404" s="311">
        <v>0</v>
      </c>
    </row>
    <row r="405" spans="1:7" x14ac:dyDescent="0.3">
      <c r="A405" s="6" t="s">
        <v>1019</v>
      </c>
      <c r="B405" s="6" t="s">
        <v>1020</v>
      </c>
      <c r="C405" s="304">
        <v>735</v>
      </c>
      <c r="D405" s="304">
        <v>232378.54741712101</v>
      </c>
      <c r="E405" s="305">
        <v>4370.1586242251697</v>
      </c>
      <c r="F405" s="306">
        <v>100</v>
      </c>
      <c r="G405" s="307">
        <v>0</v>
      </c>
    </row>
    <row r="406" spans="1:7" x14ac:dyDescent="0.3">
      <c r="A406" s="11" t="s">
        <v>6354</v>
      </c>
      <c r="B406" s="11" t="s">
        <v>6355</v>
      </c>
      <c r="C406" s="308">
        <v>314</v>
      </c>
      <c r="D406" s="308">
        <v>86154.452582878497</v>
      </c>
      <c r="E406" s="309">
        <v>4370.1586242250796</v>
      </c>
      <c r="F406" s="310">
        <v>27.0472612203064</v>
      </c>
      <c r="G406" s="311">
        <v>1.3719641683044199</v>
      </c>
    </row>
    <row r="407" spans="1:7" x14ac:dyDescent="0.3">
      <c r="A407" s="6" t="s">
        <v>6354</v>
      </c>
      <c r="B407" s="6" t="s">
        <v>6356</v>
      </c>
      <c r="C407" s="304">
        <v>1049</v>
      </c>
      <c r="D407" s="304">
        <v>318533</v>
      </c>
      <c r="E407" s="305">
        <v>0</v>
      </c>
      <c r="F407" s="306">
        <v>100</v>
      </c>
      <c r="G407" s="307">
        <v>0</v>
      </c>
    </row>
    <row r="408" spans="1:7" x14ac:dyDescent="0.3">
      <c r="A408" s="3449" t="s">
        <v>353</v>
      </c>
      <c r="B408" s="3450"/>
      <c r="C408" s="3450"/>
      <c r="D408" s="3450"/>
      <c r="E408" s="3450"/>
      <c r="F408" s="3450"/>
      <c r="G408" s="3450"/>
    </row>
    <row r="409" spans="1:7" x14ac:dyDescent="0.3">
      <c r="A409" s="11" t="s">
        <v>1023</v>
      </c>
      <c r="B409" s="11" t="s">
        <v>3171</v>
      </c>
      <c r="C409" s="316">
        <v>819</v>
      </c>
      <c r="D409" s="316">
        <v>243798.035237331</v>
      </c>
      <c r="E409" s="317">
        <v>4352.7292546276703</v>
      </c>
      <c r="F409" s="318">
        <v>100</v>
      </c>
      <c r="G409" s="319">
        <v>0</v>
      </c>
    </row>
    <row r="410" spans="1:7" x14ac:dyDescent="0.3">
      <c r="A410" s="6" t="s">
        <v>1019</v>
      </c>
      <c r="B410" s="6" t="s">
        <v>1020</v>
      </c>
      <c r="C410" s="312">
        <v>230</v>
      </c>
      <c r="D410" s="312">
        <v>74734.964762668897</v>
      </c>
      <c r="E410" s="313">
        <v>4352.7292546277004</v>
      </c>
      <c r="F410" s="314">
        <v>100</v>
      </c>
      <c r="G410" s="315">
        <v>0</v>
      </c>
    </row>
    <row r="411" spans="1:7" x14ac:dyDescent="0.3">
      <c r="A411" s="11" t="s">
        <v>6354</v>
      </c>
      <c r="B411" s="11" t="s">
        <v>6355</v>
      </c>
      <c r="C411" s="316">
        <v>819</v>
      </c>
      <c r="D411" s="316">
        <v>243798.035237331</v>
      </c>
      <c r="E411" s="317">
        <v>4352.7292546276703</v>
      </c>
      <c r="F411" s="318">
        <v>76.537763822690593</v>
      </c>
      <c r="G411" s="319">
        <v>1.3664924056934999</v>
      </c>
    </row>
    <row r="412" spans="1:7" x14ac:dyDescent="0.3">
      <c r="A412" s="6" t="s">
        <v>6354</v>
      </c>
      <c r="B412" s="6" t="s">
        <v>6356</v>
      </c>
      <c r="C412" s="312">
        <v>1049</v>
      </c>
      <c r="D412" s="312">
        <v>318533</v>
      </c>
      <c r="E412" s="313">
        <v>0</v>
      </c>
      <c r="F412" s="314">
        <v>100</v>
      </c>
      <c r="G412" s="315">
        <v>0</v>
      </c>
    </row>
    <row r="413" spans="1:7" x14ac:dyDescent="0.3">
      <c r="A413" s="3449" t="s">
        <v>356</v>
      </c>
      <c r="B413" s="3450"/>
      <c r="C413" s="3450"/>
      <c r="D413" s="3450"/>
      <c r="E413" s="3450"/>
      <c r="F413" s="3450"/>
      <c r="G413" s="3450"/>
    </row>
    <row r="414" spans="1:7" x14ac:dyDescent="0.3">
      <c r="A414" s="11" t="s">
        <v>1025</v>
      </c>
      <c r="B414" s="11" t="s">
        <v>3172</v>
      </c>
      <c r="C414" s="324">
        <v>404</v>
      </c>
      <c r="D414" s="324">
        <v>143997.09756411999</v>
      </c>
      <c r="E414" s="325">
        <v>7250.8269292721398</v>
      </c>
      <c r="F414" s="326">
        <v>100</v>
      </c>
      <c r="G414" s="327">
        <v>0</v>
      </c>
    </row>
    <row r="415" spans="1:7" x14ac:dyDescent="0.3">
      <c r="A415" s="6" t="s">
        <v>1019</v>
      </c>
      <c r="B415" s="6" t="s">
        <v>1020</v>
      </c>
      <c r="C415" s="320">
        <v>645</v>
      </c>
      <c r="D415" s="320">
        <v>174535.90243588001</v>
      </c>
      <c r="E415" s="321">
        <v>7250.8269292720597</v>
      </c>
      <c r="F415" s="322">
        <v>100</v>
      </c>
      <c r="G415" s="323">
        <v>0</v>
      </c>
    </row>
    <row r="416" spans="1:7" x14ac:dyDescent="0.3">
      <c r="A416" s="11" t="s">
        <v>6354</v>
      </c>
      <c r="B416" s="11" t="s">
        <v>6355</v>
      </c>
      <c r="C416" s="324">
        <v>404</v>
      </c>
      <c r="D416" s="324">
        <v>143997.09756411999</v>
      </c>
      <c r="E416" s="325">
        <v>7250.8269292721398</v>
      </c>
      <c r="F416" s="326">
        <v>45.206335784399201</v>
      </c>
      <c r="G416" s="327">
        <v>2.2763189149231402</v>
      </c>
    </row>
    <row r="417" spans="1:7" x14ac:dyDescent="0.3">
      <c r="A417" s="6" t="s">
        <v>6354</v>
      </c>
      <c r="B417" s="6" t="s">
        <v>6356</v>
      </c>
      <c r="C417" s="320">
        <v>1049</v>
      </c>
      <c r="D417" s="320">
        <v>318533</v>
      </c>
      <c r="E417" s="321">
        <v>0</v>
      </c>
      <c r="F417" s="322">
        <v>100</v>
      </c>
      <c r="G417" s="323">
        <v>0</v>
      </c>
    </row>
    <row r="418" spans="1:7" x14ac:dyDescent="0.3">
      <c r="A418" s="3449" t="s">
        <v>358</v>
      </c>
      <c r="B418" s="3450"/>
      <c r="C418" s="3450"/>
      <c r="D418" s="3450"/>
      <c r="E418" s="3450"/>
      <c r="F418" s="3450"/>
      <c r="G418" s="3450"/>
    </row>
    <row r="419" spans="1:7" x14ac:dyDescent="0.3">
      <c r="A419" s="11" t="s">
        <v>1027</v>
      </c>
      <c r="B419" s="11" t="s">
        <v>3173</v>
      </c>
      <c r="C419" s="332">
        <v>361</v>
      </c>
      <c r="D419" s="332">
        <v>139118.91405988799</v>
      </c>
      <c r="E419" s="333">
        <v>7218.1034792219998</v>
      </c>
      <c r="F419" s="334">
        <v>100</v>
      </c>
      <c r="G419" s="335">
        <v>0</v>
      </c>
    </row>
    <row r="420" spans="1:7" x14ac:dyDescent="0.3">
      <c r="A420" s="6" t="s">
        <v>1019</v>
      </c>
      <c r="B420" s="6" t="s">
        <v>1020</v>
      </c>
      <c r="C420" s="328">
        <v>688</v>
      </c>
      <c r="D420" s="328">
        <v>179414.08594011201</v>
      </c>
      <c r="E420" s="329">
        <v>7218.1034792220498</v>
      </c>
      <c r="F420" s="330">
        <v>100</v>
      </c>
      <c r="G420" s="331">
        <v>0</v>
      </c>
    </row>
    <row r="421" spans="1:7" x14ac:dyDescent="0.3">
      <c r="A421" s="11" t="s">
        <v>6354</v>
      </c>
      <c r="B421" s="11" t="s">
        <v>6355</v>
      </c>
      <c r="C421" s="332">
        <v>361</v>
      </c>
      <c r="D421" s="332">
        <v>139118.91405988799</v>
      </c>
      <c r="E421" s="333">
        <v>7218.1034792219998</v>
      </c>
      <c r="F421" s="334">
        <v>43.674882684019401</v>
      </c>
      <c r="G421" s="335">
        <v>2.2660457406994001</v>
      </c>
    </row>
    <row r="422" spans="1:7" x14ac:dyDescent="0.3">
      <c r="A422" s="6" t="s">
        <v>6354</v>
      </c>
      <c r="B422" s="6" t="s">
        <v>6356</v>
      </c>
      <c r="C422" s="328">
        <v>1049</v>
      </c>
      <c r="D422" s="328">
        <v>318533</v>
      </c>
      <c r="E422" s="329">
        <v>0</v>
      </c>
      <c r="F422" s="330">
        <v>100</v>
      </c>
      <c r="G422" s="331">
        <v>0</v>
      </c>
    </row>
    <row r="423" spans="1:7" x14ac:dyDescent="0.3">
      <c r="A423" s="3449" t="s">
        <v>361</v>
      </c>
      <c r="B423" s="3450"/>
      <c r="C423" s="3450"/>
      <c r="D423" s="3450"/>
      <c r="E423" s="3450"/>
      <c r="F423" s="3450"/>
      <c r="G423" s="3450"/>
    </row>
    <row r="424" spans="1:7" x14ac:dyDescent="0.3">
      <c r="A424" s="11" t="s">
        <v>1029</v>
      </c>
      <c r="B424" s="11" t="s">
        <v>3174</v>
      </c>
      <c r="C424" s="340">
        <v>74</v>
      </c>
      <c r="D424" s="340">
        <v>22573.139403257399</v>
      </c>
      <c r="E424" s="341">
        <v>3673.10567624952</v>
      </c>
      <c r="F424" s="342">
        <v>100</v>
      </c>
      <c r="G424" s="343">
        <v>0</v>
      </c>
    </row>
    <row r="425" spans="1:7" x14ac:dyDescent="0.3">
      <c r="A425" s="6" t="s">
        <v>1019</v>
      </c>
      <c r="B425" s="6" t="s">
        <v>1020</v>
      </c>
      <c r="C425" s="336">
        <v>975</v>
      </c>
      <c r="D425" s="336">
        <v>295959.86059674202</v>
      </c>
      <c r="E425" s="337">
        <v>3673.10567624954</v>
      </c>
      <c r="F425" s="338">
        <v>100</v>
      </c>
      <c r="G425" s="339">
        <v>0</v>
      </c>
    </row>
    <row r="426" spans="1:7" x14ac:dyDescent="0.3">
      <c r="A426" s="11" t="s">
        <v>6354</v>
      </c>
      <c r="B426" s="11" t="s">
        <v>6355</v>
      </c>
      <c r="C426" s="340">
        <v>74</v>
      </c>
      <c r="D426" s="340">
        <v>22573.139403257399</v>
      </c>
      <c r="E426" s="341">
        <v>3673.10567624952</v>
      </c>
      <c r="F426" s="342">
        <v>7.0865936663571398</v>
      </c>
      <c r="G426" s="343">
        <v>1.15313191294137</v>
      </c>
    </row>
    <row r="427" spans="1:7" x14ac:dyDescent="0.3">
      <c r="A427" s="6" t="s">
        <v>6354</v>
      </c>
      <c r="B427" s="6" t="s">
        <v>6356</v>
      </c>
      <c r="C427" s="336">
        <v>1049</v>
      </c>
      <c r="D427" s="336">
        <v>318533</v>
      </c>
      <c r="E427" s="337">
        <v>0</v>
      </c>
      <c r="F427" s="338">
        <v>100</v>
      </c>
      <c r="G427" s="339">
        <v>0</v>
      </c>
    </row>
    <row r="428" spans="1:7" x14ac:dyDescent="0.3">
      <c r="A428" s="3449" t="s">
        <v>364</v>
      </c>
      <c r="B428" s="3450"/>
      <c r="C428" s="3450"/>
      <c r="D428" s="3450"/>
      <c r="E428" s="3450"/>
      <c r="F428" s="3450"/>
      <c r="G428" s="3450"/>
    </row>
    <row r="429" spans="1:7" x14ac:dyDescent="0.3">
      <c r="A429" s="11" t="s">
        <v>1019</v>
      </c>
      <c r="B429" s="11" t="s">
        <v>1020</v>
      </c>
      <c r="C429" s="348">
        <v>1049</v>
      </c>
      <c r="D429" s="348">
        <v>318533</v>
      </c>
      <c r="E429" s="349">
        <v>2.4423447799150501E-9</v>
      </c>
      <c r="F429" s="350">
        <v>100</v>
      </c>
      <c r="G429" s="351">
        <v>0</v>
      </c>
    </row>
    <row r="430" spans="1:7" x14ac:dyDescent="0.3">
      <c r="A430" s="6" t="s">
        <v>6354</v>
      </c>
      <c r="B430" s="6" t="s">
        <v>6355</v>
      </c>
      <c r="C430" s="344">
        <v>0</v>
      </c>
      <c r="D430" s="344">
        <v>0</v>
      </c>
      <c r="E430" s="345">
        <v>0</v>
      </c>
      <c r="F430" s="346">
        <v>0</v>
      </c>
      <c r="G430" s="347">
        <v>0</v>
      </c>
    </row>
    <row r="431" spans="1:7" x14ac:dyDescent="0.3">
      <c r="A431" s="11" t="s">
        <v>6354</v>
      </c>
      <c r="B431" s="11" t="s">
        <v>6356</v>
      </c>
      <c r="C431" s="348">
        <v>1049</v>
      </c>
      <c r="D431" s="348">
        <v>318533</v>
      </c>
      <c r="E431" s="349">
        <v>0</v>
      </c>
      <c r="F431" s="350">
        <v>100</v>
      </c>
      <c r="G431" s="351">
        <v>0</v>
      </c>
    </row>
    <row r="432" spans="1:7" x14ac:dyDescent="0.3">
      <c r="A432" s="3449" t="s">
        <v>366</v>
      </c>
      <c r="B432" s="3450"/>
      <c r="C432" s="3450"/>
      <c r="D432" s="3450"/>
      <c r="E432" s="3450"/>
      <c r="F432" s="3450"/>
      <c r="G432" s="3450"/>
    </row>
    <row r="433" spans="1:7" x14ac:dyDescent="0.3">
      <c r="A433" s="11" t="s">
        <v>1019</v>
      </c>
      <c r="B433" s="11" t="s">
        <v>1020</v>
      </c>
      <c r="C433" s="356">
        <v>1049</v>
      </c>
      <c r="D433" s="356">
        <v>318533</v>
      </c>
      <c r="E433" s="357">
        <v>2.4423447799150501E-9</v>
      </c>
      <c r="F433" s="358">
        <v>100</v>
      </c>
      <c r="G433" s="359">
        <v>0</v>
      </c>
    </row>
    <row r="434" spans="1:7" x14ac:dyDescent="0.3">
      <c r="A434" s="6" t="s">
        <v>6354</v>
      </c>
      <c r="B434" s="6" t="s">
        <v>6355</v>
      </c>
      <c r="C434" s="352">
        <v>0</v>
      </c>
      <c r="D434" s="352">
        <v>0</v>
      </c>
      <c r="E434" s="353">
        <v>0</v>
      </c>
      <c r="F434" s="354">
        <v>0</v>
      </c>
      <c r="G434" s="355">
        <v>0</v>
      </c>
    </row>
    <row r="435" spans="1:7" x14ac:dyDescent="0.3">
      <c r="A435" s="11" t="s">
        <v>6354</v>
      </c>
      <c r="B435" s="11" t="s">
        <v>6356</v>
      </c>
      <c r="C435" s="356">
        <v>1049</v>
      </c>
      <c r="D435" s="356">
        <v>318533</v>
      </c>
      <c r="E435" s="357">
        <v>0</v>
      </c>
      <c r="F435" s="358">
        <v>100</v>
      </c>
      <c r="G435" s="359">
        <v>0</v>
      </c>
    </row>
    <row r="436" spans="1:7" x14ac:dyDescent="0.3">
      <c r="A436" s="3449" t="s">
        <v>368</v>
      </c>
      <c r="B436" s="3450"/>
      <c r="C436" s="3450"/>
      <c r="D436" s="3450"/>
      <c r="E436" s="3450"/>
      <c r="F436" s="3450"/>
      <c r="G436" s="3450"/>
    </row>
    <row r="437" spans="1:7" x14ac:dyDescent="0.3">
      <c r="A437" s="11" t="s">
        <v>1042</v>
      </c>
      <c r="B437" s="11" t="s">
        <v>3177</v>
      </c>
      <c r="C437" s="364">
        <v>242</v>
      </c>
      <c r="D437" s="364">
        <v>78065.478607682599</v>
      </c>
      <c r="E437" s="365">
        <v>4383.7214286015196</v>
      </c>
      <c r="F437" s="366">
        <v>100</v>
      </c>
      <c r="G437" s="367">
        <v>0</v>
      </c>
    </row>
    <row r="438" spans="1:7" x14ac:dyDescent="0.3">
      <c r="A438" s="6" t="s">
        <v>1019</v>
      </c>
      <c r="B438" s="6" t="s">
        <v>1020</v>
      </c>
      <c r="C438" s="360">
        <v>807</v>
      </c>
      <c r="D438" s="360">
        <v>240467.52139231699</v>
      </c>
      <c r="E438" s="361">
        <v>4383.7214286016697</v>
      </c>
      <c r="F438" s="362">
        <v>100</v>
      </c>
      <c r="G438" s="363">
        <v>0</v>
      </c>
    </row>
    <row r="439" spans="1:7" x14ac:dyDescent="0.3">
      <c r="A439" s="11" t="s">
        <v>6354</v>
      </c>
      <c r="B439" s="11" t="s">
        <v>6355</v>
      </c>
      <c r="C439" s="364">
        <v>242</v>
      </c>
      <c r="D439" s="364">
        <v>78065.478607682599</v>
      </c>
      <c r="E439" s="365">
        <v>4383.7214286015196</v>
      </c>
      <c r="F439" s="366">
        <v>24.507815079656599</v>
      </c>
      <c r="G439" s="367">
        <v>1.37622206446477</v>
      </c>
    </row>
    <row r="440" spans="1:7" x14ac:dyDescent="0.3">
      <c r="A440" s="6" t="s">
        <v>6354</v>
      </c>
      <c r="B440" s="6" t="s">
        <v>6356</v>
      </c>
      <c r="C440" s="360">
        <v>1049</v>
      </c>
      <c r="D440" s="360">
        <v>318533</v>
      </c>
      <c r="E440" s="361">
        <v>0</v>
      </c>
      <c r="F440" s="362">
        <v>100</v>
      </c>
      <c r="G440" s="363">
        <v>0</v>
      </c>
    </row>
    <row r="441" spans="1:7" x14ac:dyDescent="0.3">
      <c r="A441" s="3449" t="s">
        <v>371</v>
      </c>
      <c r="B441" s="3450"/>
      <c r="C441" s="3450"/>
      <c r="D441" s="3450"/>
      <c r="E441" s="3450"/>
      <c r="F441" s="3450"/>
      <c r="G441" s="3450"/>
    </row>
    <row r="442" spans="1:7" x14ac:dyDescent="0.3">
      <c r="A442" s="11" t="s">
        <v>1061</v>
      </c>
      <c r="B442" s="11" t="s">
        <v>3178</v>
      </c>
      <c r="C442" s="372">
        <v>210</v>
      </c>
      <c r="D442" s="372">
        <v>69883.118441965198</v>
      </c>
      <c r="E442" s="373">
        <v>4543.63295073464</v>
      </c>
      <c r="F442" s="374">
        <v>100</v>
      </c>
      <c r="G442" s="375">
        <v>0</v>
      </c>
    </row>
    <row r="443" spans="1:7" x14ac:dyDescent="0.3">
      <c r="A443" s="6" t="s">
        <v>1019</v>
      </c>
      <c r="B443" s="6" t="s">
        <v>1020</v>
      </c>
      <c r="C443" s="368">
        <v>839</v>
      </c>
      <c r="D443" s="368">
        <v>248649.88155803501</v>
      </c>
      <c r="E443" s="369">
        <v>4543.63295073467</v>
      </c>
      <c r="F443" s="370">
        <v>100</v>
      </c>
      <c r="G443" s="371">
        <v>0</v>
      </c>
    </row>
    <row r="444" spans="1:7" x14ac:dyDescent="0.3">
      <c r="A444" s="11" t="s">
        <v>6354</v>
      </c>
      <c r="B444" s="11" t="s">
        <v>6355</v>
      </c>
      <c r="C444" s="372">
        <v>210</v>
      </c>
      <c r="D444" s="372">
        <v>69883.118441965198</v>
      </c>
      <c r="E444" s="373">
        <v>4543.63295073464</v>
      </c>
      <c r="F444" s="374">
        <v>21.939051351654399</v>
      </c>
      <c r="G444" s="375">
        <v>1.42642456220695</v>
      </c>
    </row>
    <row r="445" spans="1:7" x14ac:dyDescent="0.3">
      <c r="A445" s="6" t="s">
        <v>6354</v>
      </c>
      <c r="B445" s="6" t="s">
        <v>6356</v>
      </c>
      <c r="C445" s="368">
        <v>1049</v>
      </c>
      <c r="D445" s="368">
        <v>318533</v>
      </c>
      <c r="E445" s="369">
        <v>0</v>
      </c>
      <c r="F445" s="370">
        <v>100</v>
      </c>
      <c r="G445" s="371">
        <v>0</v>
      </c>
    </row>
    <row r="446" spans="1:7" x14ac:dyDescent="0.3">
      <c r="A446" s="3449" t="s">
        <v>350</v>
      </c>
      <c r="B446" s="3450"/>
      <c r="C446" s="3450"/>
      <c r="D446" s="3450"/>
      <c r="E446" s="3450"/>
      <c r="F446" s="3450"/>
      <c r="G446" s="3450"/>
    </row>
    <row r="447" spans="1:7" x14ac:dyDescent="0.3">
      <c r="A447" s="11" t="s">
        <v>1019</v>
      </c>
      <c r="B447" s="11" t="s">
        <v>1020</v>
      </c>
      <c r="C447" s="380">
        <v>1049</v>
      </c>
      <c r="D447" s="380">
        <v>318533</v>
      </c>
      <c r="E447" s="381">
        <v>2.4423447799150501E-9</v>
      </c>
      <c r="F447" s="382">
        <v>100</v>
      </c>
      <c r="G447" s="383">
        <v>0</v>
      </c>
    </row>
    <row r="448" spans="1:7" x14ac:dyDescent="0.3">
      <c r="A448" s="6" t="s">
        <v>6354</v>
      </c>
      <c r="B448" s="6" t="s">
        <v>6355</v>
      </c>
      <c r="C448" s="376">
        <v>0</v>
      </c>
      <c r="D448" s="376">
        <v>0</v>
      </c>
      <c r="E448" s="377">
        <v>0</v>
      </c>
      <c r="F448" s="378">
        <v>0</v>
      </c>
      <c r="G448" s="379">
        <v>0</v>
      </c>
    </row>
    <row r="449" spans="1:7" x14ac:dyDescent="0.3">
      <c r="A449" s="11" t="s">
        <v>6354</v>
      </c>
      <c r="B449" s="11" t="s">
        <v>6356</v>
      </c>
      <c r="C449" s="380">
        <v>1049</v>
      </c>
      <c r="D449" s="380">
        <v>318533</v>
      </c>
      <c r="E449" s="381">
        <v>0</v>
      </c>
      <c r="F449" s="382">
        <v>100</v>
      </c>
      <c r="G449" s="383">
        <v>0</v>
      </c>
    </row>
    <row r="450" spans="1:7" x14ac:dyDescent="0.3">
      <c r="A450" s="3449" t="s">
        <v>375</v>
      </c>
      <c r="B450" s="3450"/>
      <c r="C450" s="3450"/>
      <c r="D450" s="3450"/>
      <c r="E450" s="3450"/>
      <c r="F450" s="3450"/>
      <c r="G450" s="3450"/>
    </row>
    <row r="451" spans="1:7" x14ac:dyDescent="0.3">
      <c r="A451" s="11" t="s">
        <v>1065</v>
      </c>
      <c r="B451" s="11" t="s">
        <v>3157</v>
      </c>
      <c r="C451" s="388">
        <v>435</v>
      </c>
      <c r="D451" s="388">
        <v>109667.059681078</v>
      </c>
      <c r="E451" s="389">
        <v>6330.7285358250101</v>
      </c>
      <c r="F451" s="390">
        <v>100</v>
      </c>
      <c r="G451" s="391">
        <v>0</v>
      </c>
    </row>
    <row r="452" spans="1:7" x14ac:dyDescent="0.3">
      <c r="A452" s="6" t="s">
        <v>1019</v>
      </c>
      <c r="B452" s="6" t="s">
        <v>1020</v>
      </c>
      <c r="C452" s="384">
        <v>614</v>
      </c>
      <c r="D452" s="384">
        <v>208865.94031892199</v>
      </c>
      <c r="E452" s="385">
        <v>6330.72853582484</v>
      </c>
      <c r="F452" s="386">
        <v>100</v>
      </c>
      <c r="G452" s="387">
        <v>0</v>
      </c>
    </row>
    <row r="453" spans="1:7" x14ac:dyDescent="0.3">
      <c r="A453" s="11" t="s">
        <v>6354</v>
      </c>
      <c r="B453" s="11" t="s">
        <v>6355</v>
      </c>
      <c r="C453" s="388">
        <v>435</v>
      </c>
      <c r="D453" s="388">
        <v>109667.059681078</v>
      </c>
      <c r="E453" s="389">
        <v>6330.7285358250101</v>
      </c>
      <c r="F453" s="390">
        <v>34.428790637415297</v>
      </c>
      <c r="G453" s="391">
        <v>1.9874639474795199</v>
      </c>
    </row>
    <row r="454" spans="1:7" x14ac:dyDescent="0.3">
      <c r="A454" s="6" t="s">
        <v>6354</v>
      </c>
      <c r="B454" s="6" t="s">
        <v>6356</v>
      </c>
      <c r="C454" s="384">
        <v>1049</v>
      </c>
      <c r="D454" s="384">
        <v>318533</v>
      </c>
      <c r="E454" s="385">
        <v>0</v>
      </c>
      <c r="F454" s="386">
        <v>100</v>
      </c>
      <c r="G454" s="387">
        <v>0</v>
      </c>
    </row>
    <row r="455" spans="1:7" x14ac:dyDescent="0.3">
      <c r="A455" s="3449" t="s">
        <v>373</v>
      </c>
      <c r="B455" s="3450"/>
      <c r="C455" s="3450"/>
      <c r="D455" s="3450"/>
      <c r="E455" s="3450"/>
      <c r="F455" s="3450"/>
      <c r="G455" s="3450"/>
    </row>
    <row r="456" spans="1:7" x14ac:dyDescent="0.3">
      <c r="A456" s="11" t="s">
        <v>1019</v>
      </c>
      <c r="B456" s="11" t="s">
        <v>1020</v>
      </c>
      <c r="C456" s="396">
        <v>1043</v>
      </c>
      <c r="D456" s="396">
        <v>317172.04793594999</v>
      </c>
      <c r="E456" s="397">
        <v>887.68787936459796</v>
      </c>
      <c r="F456" s="398">
        <v>99.572743777238202</v>
      </c>
      <c r="G456" s="399">
        <v>0.27868003609180397</v>
      </c>
    </row>
    <row r="457" spans="1:7" x14ac:dyDescent="0.3">
      <c r="A457" s="6" t="s">
        <v>1015</v>
      </c>
      <c r="B457" s="6" t="s">
        <v>1016</v>
      </c>
      <c r="C457" s="392">
        <v>6</v>
      </c>
      <c r="D457" s="392">
        <v>1360.9520640497301</v>
      </c>
      <c r="E457" s="393">
        <v>887.68787936428805</v>
      </c>
      <c r="F457" s="394">
        <v>0.427256222761765</v>
      </c>
      <c r="G457" s="395">
        <v>0.27868003609179898</v>
      </c>
    </row>
    <row r="458" spans="1:7" x14ac:dyDescent="0.3">
      <c r="A458" s="11" t="s">
        <v>6354</v>
      </c>
      <c r="B458" s="11" t="s">
        <v>6355</v>
      </c>
      <c r="C458" s="396">
        <v>0</v>
      </c>
      <c r="D458" s="396">
        <v>0</v>
      </c>
      <c r="E458" s="397">
        <v>0</v>
      </c>
      <c r="F458" s="398">
        <v>0</v>
      </c>
      <c r="G458" s="399">
        <v>0</v>
      </c>
    </row>
    <row r="459" spans="1:7" x14ac:dyDescent="0.3">
      <c r="A459" s="6" t="s">
        <v>6354</v>
      </c>
      <c r="B459" s="6" t="s">
        <v>6356</v>
      </c>
      <c r="C459" s="392">
        <v>1049</v>
      </c>
      <c r="D459" s="392">
        <v>318533</v>
      </c>
      <c r="E459" s="393">
        <v>0</v>
      </c>
      <c r="F459" s="394">
        <v>100</v>
      </c>
      <c r="G459" s="395">
        <v>0</v>
      </c>
    </row>
    <row r="460" spans="1:7" x14ac:dyDescent="0.3">
      <c r="A460" s="3449" t="s">
        <v>377</v>
      </c>
      <c r="B460" s="3450"/>
      <c r="C460" s="3450"/>
      <c r="D460" s="3450"/>
      <c r="E460" s="3450"/>
      <c r="F460" s="3450"/>
      <c r="G460" s="3450"/>
    </row>
    <row r="461" spans="1:7" x14ac:dyDescent="0.3">
      <c r="A461" s="11" t="s">
        <v>1019</v>
      </c>
      <c r="B461" s="11" t="s">
        <v>1020</v>
      </c>
      <c r="C461" s="404">
        <v>1049</v>
      </c>
      <c r="D461" s="404">
        <v>318533</v>
      </c>
      <c r="E461" s="405">
        <v>2.4423447799150501E-9</v>
      </c>
      <c r="F461" s="406">
        <v>100</v>
      </c>
      <c r="G461" s="407">
        <v>0</v>
      </c>
    </row>
    <row r="462" spans="1:7" x14ac:dyDescent="0.3">
      <c r="A462" s="6" t="s">
        <v>6354</v>
      </c>
      <c r="B462" s="6" t="s">
        <v>6355</v>
      </c>
      <c r="C462" s="400">
        <v>0</v>
      </c>
      <c r="D462" s="400">
        <v>0</v>
      </c>
      <c r="E462" s="401">
        <v>0</v>
      </c>
      <c r="F462" s="402">
        <v>0</v>
      </c>
      <c r="G462" s="403">
        <v>0</v>
      </c>
    </row>
    <row r="463" spans="1:7" x14ac:dyDescent="0.3">
      <c r="A463" s="11" t="s">
        <v>6354</v>
      </c>
      <c r="B463" s="11" t="s">
        <v>6356</v>
      </c>
      <c r="C463" s="404">
        <v>1049</v>
      </c>
      <c r="D463" s="404">
        <v>318533</v>
      </c>
      <c r="E463" s="405">
        <v>0</v>
      </c>
      <c r="F463" s="406">
        <v>100</v>
      </c>
      <c r="G463" s="407">
        <v>0</v>
      </c>
    </row>
    <row r="464" spans="1:7" x14ac:dyDescent="0.3">
      <c r="A464" s="3449" t="s">
        <v>265</v>
      </c>
      <c r="B464" s="3450"/>
      <c r="C464" s="3450"/>
      <c r="D464" s="3450"/>
      <c r="E464" s="3450"/>
      <c r="F464" s="3450"/>
      <c r="G464" s="3450"/>
    </row>
    <row r="465" spans="1:7" x14ac:dyDescent="0.3">
      <c r="A465" s="11" t="s">
        <v>1021</v>
      </c>
      <c r="B465" s="11" t="s">
        <v>3146</v>
      </c>
      <c r="C465" s="412">
        <v>483</v>
      </c>
      <c r="D465" s="412">
        <v>161073.30832873701</v>
      </c>
      <c r="E465" s="413">
        <v>7575.5591456374004</v>
      </c>
      <c r="F465" s="414">
        <v>100</v>
      </c>
      <c r="G465" s="415">
        <v>0</v>
      </c>
    </row>
    <row r="466" spans="1:7" x14ac:dyDescent="0.3">
      <c r="A466" s="6" t="s">
        <v>1019</v>
      </c>
      <c r="B466" s="6" t="s">
        <v>1020</v>
      </c>
      <c r="C466" s="408">
        <v>566</v>
      </c>
      <c r="D466" s="408">
        <v>157459.69167126299</v>
      </c>
      <c r="E466" s="409">
        <v>7575.5591456375796</v>
      </c>
      <c r="F466" s="410">
        <v>100</v>
      </c>
      <c r="G466" s="411">
        <v>0</v>
      </c>
    </row>
    <row r="467" spans="1:7" x14ac:dyDescent="0.3">
      <c r="A467" s="11" t="s">
        <v>6354</v>
      </c>
      <c r="B467" s="11" t="s">
        <v>6355</v>
      </c>
      <c r="C467" s="412">
        <v>483</v>
      </c>
      <c r="D467" s="412">
        <v>161073.30832873701</v>
      </c>
      <c r="E467" s="413">
        <v>7575.5591456374004</v>
      </c>
      <c r="F467" s="414">
        <v>50.567227988540303</v>
      </c>
      <c r="G467" s="415">
        <v>2.3782650920430601</v>
      </c>
    </row>
    <row r="468" spans="1:7" x14ac:dyDescent="0.3">
      <c r="A468" s="6" t="s">
        <v>6354</v>
      </c>
      <c r="B468" s="6" t="s">
        <v>6356</v>
      </c>
      <c r="C468" s="408">
        <v>1049</v>
      </c>
      <c r="D468" s="408">
        <v>318533</v>
      </c>
      <c r="E468" s="409">
        <v>0</v>
      </c>
      <c r="F468" s="410">
        <v>100</v>
      </c>
      <c r="G468" s="411">
        <v>0</v>
      </c>
    </row>
    <row r="469" spans="1:7" x14ac:dyDescent="0.3">
      <c r="A469" s="3449" t="s">
        <v>275</v>
      </c>
      <c r="B469" s="3450"/>
      <c r="C469" s="3450"/>
      <c r="D469" s="3450"/>
      <c r="E469" s="3450"/>
      <c r="F469" s="3450"/>
      <c r="G469" s="3450"/>
    </row>
    <row r="470" spans="1:7" x14ac:dyDescent="0.3">
      <c r="A470" s="11" t="s">
        <v>1023</v>
      </c>
      <c r="B470" s="11" t="s">
        <v>3147</v>
      </c>
      <c r="C470" s="420">
        <v>406</v>
      </c>
      <c r="D470" s="420">
        <v>128487.226093045</v>
      </c>
      <c r="E470" s="421">
        <v>5312.66652580757</v>
      </c>
      <c r="F470" s="422">
        <v>100</v>
      </c>
      <c r="G470" s="423">
        <v>0</v>
      </c>
    </row>
    <row r="471" spans="1:7" x14ac:dyDescent="0.3">
      <c r="A471" s="6" t="s">
        <v>1019</v>
      </c>
      <c r="B471" s="6" t="s">
        <v>1020</v>
      </c>
      <c r="C471" s="416">
        <v>643</v>
      </c>
      <c r="D471" s="416">
        <v>190045.773906955</v>
      </c>
      <c r="E471" s="417">
        <v>5312.6665258073799</v>
      </c>
      <c r="F471" s="418">
        <v>100</v>
      </c>
      <c r="G471" s="419">
        <v>0</v>
      </c>
    </row>
    <row r="472" spans="1:7" x14ac:dyDescent="0.3">
      <c r="A472" s="11" t="s">
        <v>6354</v>
      </c>
      <c r="B472" s="11" t="s">
        <v>6355</v>
      </c>
      <c r="C472" s="420">
        <v>406</v>
      </c>
      <c r="D472" s="420">
        <v>128487.226093045</v>
      </c>
      <c r="E472" s="421">
        <v>5312.66652580757</v>
      </c>
      <c r="F472" s="422">
        <v>40.337178908635799</v>
      </c>
      <c r="G472" s="423">
        <v>1.6678543591425301</v>
      </c>
    </row>
    <row r="473" spans="1:7" x14ac:dyDescent="0.3">
      <c r="A473" s="6" t="s">
        <v>6354</v>
      </c>
      <c r="B473" s="6" t="s">
        <v>6356</v>
      </c>
      <c r="C473" s="416">
        <v>1049</v>
      </c>
      <c r="D473" s="416">
        <v>318533</v>
      </c>
      <c r="E473" s="417">
        <v>0</v>
      </c>
      <c r="F473" s="418">
        <v>100</v>
      </c>
      <c r="G473" s="419">
        <v>0</v>
      </c>
    </row>
    <row r="474" spans="1:7" x14ac:dyDescent="0.3">
      <c r="A474" s="3449" t="s">
        <v>278</v>
      </c>
      <c r="B474" s="3450"/>
      <c r="C474" s="3450"/>
      <c r="D474" s="3450"/>
      <c r="E474" s="3450"/>
      <c r="F474" s="3450"/>
      <c r="G474" s="3450"/>
    </row>
    <row r="475" spans="1:7" x14ac:dyDescent="0.3">
      <c r="A475" s="11" t="s">
        <v>1025</v>
      </c>
      <c r="B475" s="11" t="s">
        <v>3148</v>
      </c>
      <c r="C475" s="428">
        <v>417</v>
      </c>
      <c r="D475" s="428">
        <v>118114.390930824</v>
      </c>
      <c r="E475" s="429">
        <v>11603.6127471982</v>
      </c>
      <c r="F475" s="430">
        <v>100</v>
      </c>
      <c r="G475" s="431">
        <v>0</v>
      </c>
    </row>
    <row r="476" spans="1:7" x14ac:dyDescent="0.3">
      <c r="A476" s="6" t="s">
        <v>1019</v>
      </c>
      <c r="B476" s="6" t="s">
        <v>1020</v>
      </c>
      <c r="C476" s="424">
        <v>632</v>
      </c>
      <c r="D476" s="424">
        <v>200418.60906917599</v>
      </c>
      <c r="E476" s="425">
        <v>11603.6127471981</v>
      </c>
      <c r="F476" s="426">
        <v>100</v>
      </c>
      <c r="G476" s="427">
        <v>0</v>
      </c>
    </row>
    <row r="477" spans="1:7" x14ac:dyDescent="0.3">
      <c r="A477" s="11" t="s">
        <v>6354</v>
      </c>
      <c r="B477" s="11" t="s">
        <v>6355</v>
      </c>
      <c r="C477" s="428">
        <v>417</v>
      </c>
      <c r="D477" s="428">
        <v>118114.390930824</v>
      </c>
      <c r="E477" s="429">
        <v>11603.6127471982</v>
      </c>
      <c r="F477" s="430">
        <v>37.080739179558798</v>
      </c>
      <c r="G477" s="431">
        <v>3.6428290780541301</v>
      </c>
    </row>
    <row r="478" spans="1:7" x14ac:dyDescent="0.3">
      <c r="A478" s="6" t="s">
        <v>6354</v>
      </c>
      <c r="B478" s="6" t="s">
        <v>6356</v>
      </c>
      <c r="C478" s="424">
        <v>1049</v>
      </c>
      <c r="D478" s="424">
        <v>318533</v>
      </c>
      <c r="E478" s="425">
        <v>0</v>
      </c>
      <c r="F478" s="426">
        <v>100</v>
      </c>
      <c r="G478" s="427">
        <v>0</v>
      </c>
    </row>
    <row r="479" spans="1:7" x14ac:dyDescent="0.3">
      <c r="A479" s="3449" t="s">
        <v>281</v>
      </c>
      <c r="B479" s="3450"/>
      <c r="C479" s="3450"/>
      <c r="D479" s="3450"/>
      <c r="E479" s="3450"/>
      <c r="F479" s="3450"/>
      <c r="G479" s="3450"/>
    </row>
    <row r="480" spans="1:7" x14ac:dyDescent="0.3">
      <c r="A480" s="11" t="s">
        <v>1027</v>
      </c>
      <c r="B480" s="11" t="s">
        <v>3149</v>
      </c>
      <c r="C480" s="436">
        <v>271</v>
      </c>
      <c r="D480" s="436">
        <v>55932.909396485797</v>
      </c>
      <c r="E480" s="437">
        <v>5880.5933585195398</v>
      </c>
      <c r="F480" s="438">
        <v>100</v>
      </c>
      <c r="G480" s="439">
        <v>0</v>
      </c>
    </row>
    <row r="481" spans="1:7" x14ac:dyDescent="0.3">
      <c r="A481" s="6" t="s">
        <v>1019</v>
      </c>
      <c r="B481" s="6" t="s">
        <v>1020</v>
      </c>
      <c r="C481" s="432">
        <v>778</v>
      </c>
      <c r="D481" s="432">
        <v>262600.09060351399</v>
      </c>
      <c r="E481" s="433">
        <v>5880.5933585196399</v>
      </c>
      <c r="F481" s="434">
        <v>100</v>
      </c>
      <c r="G481" s="435">
        <v>0</v>
      </c>
    </row>
    <row r="482" spans="1:7" x14ac:dyDescent="0.3">
      <c r="A482" s="11" t="s">
        <v>6354</v>
      </c>
      <c r="B482" s="11" t="s">
        <v>6355</v>
      </c>
      <c r="C482" s="436">
        <v>271</v>
      </c>
      <c r="D482" s="436">
        <v>55932.909396485797</v>
      </c>
      <c r="E482" s="437">
        <v>5880.5933585195398</v>
      </c>
      <c r="F482" s="438">
        <v>17.559533673586699</v>
      </c>
      <c r="G482" s="439">
        <v>1.84614886323224</v>
      </c>
    </row>
    <row r="483" spans="1:7" x14ac:dyDescent="0.3">
      <c r="A483" s="6" t="s">
        <v>6354</v>
      </c>
      <c r="B483" s="6" t="s">
        <v>6356</v>
      </c>
      <c r="C483" s="432">
        <v>1049</v>
      </c>
      <c r="D483" s="432">
        <v>318533</v>
      </c>
      <c r="E483" s="433">
        <v>0</v>
      </c>
      <c r="F483" s="434">
        <v>100</v>
      </c>
      <c r="G483" s="435">
        <v>0</v>
      </c>
    </row>
    <row r="484" spans="1:7" x14ac:dyDescent="0.3">
      <c r="A484" s="3449" t="s">
        <v>284</v>
      </c>
      <c r="B484" s="3450"/>
      <c r="C484" s="3450"/>
      <c r="D484" s="3450"/>
      <c r="E484" s="3450"/>
      <c r="F484" s="3450"/>
      <c r="G484" s="3450"/>
    </row>
    <row r="485" spans="1:7" x14ac:dyDescent="0.3">
      <c r="A485" s="11" t="s">
        <v>1029</v>
      </c>
      <c r="B485" s="11" t="s">
        <v>3150</v>
      </c>
      <c r="C485" s="444">
        <v>196</v>
      </c>
      <c r="D485" s="444">
        <v>71220.8346883349</v>
      </c>
      <c r="E485" s="445">
        <v>6811.5276200915996</v>
      </c>
      <c r="F485" s="446">
        <v>100</v>
      </c>
      <c r="G485" s="447">
        <v>0</v>
      </c>
    </row>
    <row r="486" spans="1:7" x14ac:dyDescent="0.3">
      <c r="A486" s="6" t="s">
        <v>1019</v>
      </c>
      <c r="B486" s="6" t="s">
        <v>1020</v>
      </c>
      <c r="C486" s="440">
        <v>853</v>
      </c>
      <c r="D486" s="440">
        <v>247312.16531166501</v>
      </c>
      <c r="E486" s="441">
        <v>6811.5276200916296</v>
      </c>
      <c r="F486" s="442">
        <v>100</v>
      </c>
      <c r="G486" s="443">
        <v>0</v>
      </c>
    </row>
    <row r="487" spans="1:7" x14ac:dyDescent="0.3">
      <c r="A487" s="11" t="s">
        <v>6354</v>
      </c>
      <c r="B487" s="11" t="s">
        <v>6355</v>
      </c>
      <c r="C487" s="444">
        <v>196</v>
      </c>
      <c r="D487" s="444">
        <v>71220.8346883349</v>
      </c>
      <c r="E487" s="445">
        <v>6811.5276200915996</v>
      </c>
      <c r="F487" s="446">
        <v>22.359012940051699</v>
      </c>
      <c r="G487" s="447">
        <v>2.1384056346097902</v>
      </c>
    </row>
    <row r="488" spans="1:7" x14ac:dyDescent="0.3">
      <c r="A488" s="6" t="s">
        <v>6354</v>
      </c>
      <c r="B488" s="6" t="s">
        <v>6356</v>
      </c>
      <c r="C488" s="440">
        <v>1049</v>
      </c>
      <c r="D488" s="440">
        <v>318533</v>
      </c>
      <c r="E488" s="441">
        <v>0</v>
      </c>
      <c r="F488" s="442">
        <v>100</v>
      </c>
      <c r="G488" s="443">
        <v>0</v>
      </c>
    </row>
    <row r="489" spans="1:7" x14ac:dyDescent="0.3">
      <c r="A489" s="3449" t="s">
        <v>287</v>
      </c>
      <c r="B489" s="3450"/>
      <c r="C489" s="3450"/>
      <c r="D489" s="3450"/>
      <c r="E489" s="3450"/>
      <c r="F489" s="3450"/>
      <c r="G489" s="3450"/>
    </row>
    <row r="490" spans="1:7" x14ac:dyDescent="0.3">
      <c r="A490" s="11" t="s">
        <v>1031</v>
      </c>
      <c r="B490" s="11" t="s">
        <v>3151</v>
      </c>
      <c r="C490" s="452">
        <v>251</v>
      </c>
      <c r="D490" s="452">
        <v>97805.490448519296</v>
      </c>
      <c r="E490" s="453">
        <v>7931.9207300395101</v>
      </c>
      <c r="F490" s="454">
        <v>100</v>
      </c>
      <c r="G490" s="455">
        <v>0</v>
      </c>
    </row>
    <row r="491" spans="1:7" x14ac:dyDescent="0.3">
      <c r="A491" s="6" t="s">
        <v>1019</v>
      </c>
      <c r="B491" s="6" t="s">
        <v>1020</v>
      </c>
      <c r="C491" s="448">
        <v>798</v>
      </c>
      <c r="D491" s="448">
        <v>220727.50955148099</v>
      </c>
      <c r="E491" s="449">
        <v>7931.9207300396602</v>
      </c>
      <c r="F491" s="450">
        <v>100</v>
      </c>
      <c r="G491" s="451">
        <v>0</v>
      </c>
    </row>
    <row r="492" spans="1:7" x14ac:dyDescent="0.3">
      <c r="A492" s="11" t="s">
        <v>6354</v>
      </c>
      <c r="B492" s="11" t="s">
        <v>6355</v>
      </c>
      <c r="C492" s="452">
        <v>251</v>
      </c>
      <c r="D492" s="452">
        <v>97805.490448519296</v>
      </c>
      <c r="E492" s="453">
        <v>7931.9207300395101</v>
      </c>
      <c r="F492" s="454">
        <v>30.704978902819899</v>
      </c>
      <c r="G492" s="455">
        <v>2.4901409681381699</v>
      </c>
    </row>
    <row r="493" spans="1:7" x14ac:dyDescent="0.3">
      <c r="A493" s="6" t="s">
        <v>6354</v>
      </c>
      <c r="B493" s="6" t="s">
        <v>6356</v>
      </c>
      <c r="C493" s="448">
        <v>1049</v>
      </c>
      <c r="D493" s="448">
        <v>318533</v>
      </c>
      <c r="E493" s="449">
        <v>0</v>
      </c>
      <c r="F493" s="450">
        <v>100</v>
      </c>
      <c r="G493" s="451">
        <v>0</v>
      </c>
    </row>
    <row r="494" spans="1:7" x14ac:dyDescent="0.3">
      <c r="A494" s="3449" t="s">
        <v>290</v>
      </c>
      <c r="B494" s="3450"/>
      <c r="C494" s="3450"/>
      <c r="D494" s="3450"/>
      <c r="E494" s="3450"/>
      <c r="F494" s="3450"/>
      <c r="G494" s="3450"/>
    </row>
    <row r="495" spans="1:7" x14ac:dyDescent="0.3">
      <c r="A495" s="11" t="s">
        <v>1040</v>
      </c>
      <c r="B495" s="11" t="s">
        <v>3152</v>
      </c>
      <c r="C495" s="460">
        <v>63</v>
      </c>
      <c r="D495" s="460">
        <v>21360.7318620197</v>
      </c>
      <c r="E495" s="461">
        <v>4977.8605397861202</v>
      </c>
      <c r="F495" s="462">
        <v>100</v>
      </c>
      <c r="G495" s="463">
        <v>0</v>
      </c>
    </row>
    <row r="496" spans="1:7" x14ac:dyDescent="0.3">
      <c r="A496" s="6" t="s">
        <v>1019</v>
      </c>
      <c r="B496" s="6" t="s">
        <v>1020</v>
      </c>
      <c r="C496" s="456">
        <v>986</v>
      </c>
      <c r="D496" s="456">
        <v>297172.26813798002</v>
      </c>
      <c r="E496" s="457">
        <v>4977.8605397859501</v>
      </c>
      <c r="F496" s="458">
        <v>100</v>
      </c>
      <c r="G496" s="459">
        <v>0</v>
      </c>
    </row>
    <row r="497" spans="1:7" x14ac:dyDescent="0.3">
      <c r="A497" s="11" t="s">
        <v>6354</v>
      </c>
      <c r="B497" s="11" t="s">
        <v>6355</v>
      </c>
      <c r="C497" s="460">
        <v>63</v>
      </c>
      <c r="D497" s="460">
        <v>21360.7318620197</v>
      </c>
      <c r="E497" s="461">
        <v>4977.8605397861202</v>
      </c>
      <c r="F497" s="462">
        <v>6.7059713944927903</v>
      </c>
      <c r="G497" s="463">
        <v>1.5627456306838201</v>
      </c>
    </row>
    <row r="498" spans="1:7" x14ac:dyDescent="0.3">
      <c r="A498" s="6" t="s">
        <v>6354</v>
      </c>
      <c r="B498" s="6" t="s">
        <v>6356</v>
      </c>
      <c r="C498" s="456">
        <v>1049</v>
      </c>
      <c r="D498" s="456">
        <v>318533</v>
      </c>
      <c r="E498" s="457">
        <v>0</v>
      </c>
      <c r="F498" s="458">
        <v>100</v>
      </c>
      <c r="G498" s="459">
        <v>0</v>
      </c>
    </row>
    <row r="499" spans="1:7" x14ac:dyDescent="0.3">
      <c r="A499" s="3449" t="s">
        <v>293</v>
      </c>
      <c r="B499" s="3450"/>
      <c r="C499" s="3450"/>
      <c r="D499" s="3450"/>
      <c r="E499" s="3450"/>
      <c r="F499" s="3450"/>
      <c r="G499" s="3450"/>
    </row>
    <row r="500" spans="1:7" x14ac:dyDescent="0.3">
      <c r="A500" s="11" t="s">
        <v>1042</v>
      </c>
      <c r="B500" s="11" t="s">
        <v>3153</v>
      </c>
      <c r="C500" s="468">
        <v>173</v>
      </c>
      <c r="D500" s="468">
        <v>65309.774987044002</v>
      </c>
      <c r="E500" s="469">
        <v>4352.3417148749904</v>
      </c>
      <c r="F500" s="470">
        <v>100</v>
      </c>
      <c r="G500" s="471">
        <v>0</v>
      </c>
    </row>
    <row r="501" spans="1:7" x14ac:dyDescent="0.3">
      <c r="A501" s="6" t="s">
        <v>1019</v>
      </c>
      <c r="B501" s="6" t="s">
        <v>1020</v>
      </c>
      <c r="C501" s="464">
        <v>876</v>
      </c>
      <c r="D501" s="464">
        <v>253223.22501295601</v>
      </c>
      <c r="E501" s="465">
        <v>4352.3417148747903</v>
      </c>
      <c r="F501" s="466">
        <v>100</v>
      </c>
      <c r="G501" s="467">
        <v>0</v>
      </c>
    </row>
    <row r="502" spans="1:7" x14ac:dyDescent="0.3">
      <c r="A502" s="11" t="s">
        <v>6354</v>
      </c>
      <c r="B502" s="11" t="s">
        <v>6355</v>
      </c>
      <c r="C502" s="468">
        <v>173</v>
      </c>
      <c r="D502" s="468">
        <v>65309.774987044002</v>
      </c>
      <c r="E502" s="469">
        <v>4352.3417148749904</v>
      </c>
      <c r="F502" s="470">
        <v>20.503299497083201</v>
      </c>
      <c r="G502" s="471">
        <v>1.36637074176771</v>
      </c>
    </row>
    <row r="503" spans="1:7" x14ac:dyDescent="0.3">
      <c r="A503" s="6" t="s">
        <v>6354</v>
      </c>
      <c r="B503" s="6" t="s">
        <v>6356</v>
      </c>
      <c r="C503" s="464">
        <v>1049</v>
      </c>
      <c r="D503" s="464">
        <v>318533</v>
      </c>
      <c r="E503" s="465">
        <v>0</v>
      </c>
      <c r="F503" s="466">
        <v>100</v>
      </c>
      <c r="G503" s="467">
        <v>0</v>
      </c>
    </row>
    <row r="504" spans="1:7" x14ac:dyDescent="0.3">
      <c r="A504" s="3449" t="s">
        <v>296</v>
      </c>
      <c r="B504" s="3450"/>
      <c r="C504" s="3450"/>
      <c r="D504" s="3450"/>
      <c r="E504" s="3450"/>
      <c r="F504" s="3450"/>
      <c r="G504" s="3450"/>
    </row>
    <row r="505" spans="1:7" x14ac:dyDescent="0.3">
      <c r="A505" s="11" t="s">
        <v>1061</v>
      </c>
      <c r="B505" s="11" t="s">
        <v>3154</v>
      </c>
      <c r="C505" s="476">
        <v>259</v>
      </c>
      <c r="D505" s="476">
        <v>74212.094259662699</v>
      </c>
      <c r="E505" s="477">
        <v>6840.7735721492099</v>
      </c>
      <c r="F505" s="478">
        <v>100</v>
      </c>
      <c r="G505" s="479">
        <v>0</v>
      </c>
    </row>
    <row r="506" spans="1:7" x14ac:dyDescent="0.3">
      <c r="A506" s="6" t="s">
        <v>1019</v>
      </c>
      <c r="B506" s="6" t="s">
        <v>1020</v>
      </c>
      <c r="C506" s="472">
        <v>790</v>
      </c>
      <c r="D506" s="472">
        <v>244320.90574033701</v>
      </c>
      <c r="E506" s="473">
        <v>6840.77357214925</v>
      </c>
      <c r="F506" s="474">
        <v>100</v>
      </c>
      <c r="G506" s="475">
        <v>0</v>
      </c>
    </row>
    <row r="507" spans="1:7" x14ac:dyDescent="0.3">
      <c r="A507" s="11" t="s">
        <v>6354</v>
      </c>
      <c r="B507" s="11" t="s">
        <v>6355</v>
      </c>
      <c r="C507" s="476">
        <v>259</v>
      </c>
      <c r="D507" s="476">
        <v>74212.094259662699</v>
      </c>
      <c r="E507" s="477">
        <v>6840.7735721492099</v>
      </c>
      <c r="F507" s="478">
        <v>23.298086622002401</v>
      </c>
      <c r="G507" s="479">
        <v>2.1475870858432899</v>
      </c>
    </row>
    <row r="508" spans="1:7" x14ac:dyDescent="0.3">
      <c r="A508" s="6" t="s">
        <v>6354</v>
      </c>
      <c r="B508" s="6" t="s">
        <v>6356</v>
      </c>
      <c r="C508" s="472">
        <v>1049</v>
      </c>
      <c r="D508" s="472">
        <v>318533</v>
      </c>
      <c r="E508" s="473">
        <v>0</v>
      </c>
      <c r="F508" s="474">
        <v>100</v>
      </c>
      <c r="G508" s="475">
        <v>0</v>
      </c>
    </row>
    <row r="509" spans="1:7" x14ac:dyDescent="0.3">
      <c r="A509" s="3449" t="s">
        <v>269</v>
      </c>
      <c r="B509" s="3450"/>
      <c r="C509" s="3450"/>
      <c r="D509" s="3450"/>
      <c r="E509" s="3450"/>
      <c r="F509" s="3450"/>
      <c r="G509" s="3450"/>
    </row>
    <row r="510" spans="1:7" x14ac:dyDescent="0.3">
      <c r="A510" s="11" t="s">
        <v>1063</v>
      </c>
      <c r="B510" s="11" t="s">
        <v>3155</v>
      </c>
      <c r="C510" s="484">
        <v>21</v>
      </c>
      <c r="D510" s="484">
        <v>11537.1975135005</v>
      </c>
      <c r="E510" s="485">
        <v>1672.88371122016</v>
      </c>
      <c r="F510" s="486">
        <v>100</v>
      </c>
      <c r="G510" s="487">
        <v>0</v>
      </c>
    </row>
    <row r="511" spans="1:7" x14ac:dyDescent="0.3">
      <c r="A511" s="6" t="s">
        <v>1019</v>
      </c>
      <c r="B511" s="6" t="s">
        <v>1020</v>
      </c>
      <c r="C511" s="480">
        <v>1028</v>
      </c>
      <c r="D511" s="480">
        <v>306995.80248649901</v>
      </c>
      <c r="E511" s="481">
        <v>1672.88371122014</v>
      </c>
      <c r="F511" s="482">
        <v>100</v>
      </c>
      <c r="G511" s="483">
        <v>0</v>
      </c>
    </row>
    <row r="512" spans="1:7" x14ac:dyDescent="0.3">
      <c r="A512" s="11" t="s">
        <v>6354</v>
      </c>
      <c r="B512" s="11" t="s">
        <v>6355</v>
      </c>
      <c r="C512" s="484">
        <v>21</v>
      </c>
      <c r="D512" s="484">
        <v>11537.1975135005</v>
      </c>
      <c r="E512" s="485">
        <v>1672.88371122016</v>
      </c>
      <c r="F512" s="486">
        <v>3.6219787317171299</v>
      </c>
      <c r="G512" s="487">
        <v>0.52518379923592196</v>
      </c>
    </row>
    <row r="513" spans="1:7" x14ac:dyDescent="0.3">
      <c r="A513" s="6" t="s">
        <v>6354</v>
      </c>
      <c r="B513" s="6" t="s">
        <v>6356</v>
      </c>
      <c r="C513" s="480">
        <v>1049</v>
      </c>
      <c r="D513" s="480">
        <v>318533</v>
      </c>
      <c r="E513" s="481">
        <v>0</v>
      </c>
      <c r="F513" s="482">
        <v>100</v>
      </c>
      <c r="G513" s="483">
        <v>0</v>
      </c>
    </row>
    <row r="514" spans="1:7" x14ac:dyDescent="0.3">
      <c r="A514" s="3449" t="s">
        <v>272</v>
      </c>
      <c r="B514" s="3450"/>
      <c r="C514" s="3450"/>
      <c r="D514" s="3450"/>
      <c r="E514" s="3450"/>
      <c r="F514" s="3450"/>
      <c r="G514" s="3450"/>
    </row>
    <row r="515" spans="1:7" x14ac:dyDescent="0.3">
      <c r="A515" s="11" t="s">
        <v>1065</v>
      </c>
      <c r="B515" s="11" t="s">
        <v>3156</v>
      </c>
      <c r="C515" s="492">
        <v>69</v>
      </c>
      <c r="D515" s="492">
        <v>15230.199913619799</v>
      </c>
      <c r="E515" s="493">
        <v>3093.08253689924</v>
      </c>
      <c r="F515" s="494">
        <v>100</v>
      </c>
      <c r="G515" s="495">
        <v>0</v>
      </c>
    </row>
    <row r="516" spans="1:7" x14ac:dyDescent="0.3">
      <c r="A516" s="6" t="s">
        <v>1019</v>
      </c>
      <c r="B516" s="6" t="s">
        <v>1020</v>
      </c>
      <c r="C516" s="488">
        <v>980</v>
      </c>
      <c r="D516" s="488">
        <v>303302.80008637998</v>
      </c>
      <c r="E516" s="489">
        <v>3093.0825368993101</v>
      </c>
      <c r="F516" s="490">
        <v>100</v>
      </c>
      <c r="G516" s="491">
        <v>0</v>
      </c>
    </row>
    <row r="517" spans="1:7" x14ac:dyDescent="0.3">
      <c r="A517" s="11" t="s">
        <v>6354</v>
      </c>
      <c r="B517" s="11" t="s">
        <v>6355</v>
      </c>
      <c r="C517" s="492">
        <v>69</v>
      </c>
      <c r="D517" s="492">
        <v>15230.199913619799</v>
      </c>
      <c r="E517" s="493">
        <v>3093.08253689924</v>
      </c>
      <c r="F517" s="494">
        <v>4.7813570065330104</v>
      </c>
      <c r="G517" s="495">
        <v>0.97103990384018102</v>
      </c>
    </row>
    <row r="518" spans="1:7" x14ac:dyDescent="0.3">
      <c r="A518" s="6" t="s">
        <v>6354</v>
      </c>
      <c r="B518" s="6" t="s">
        <v>6356</v>
      </c>
      <c r="C518" s="488">
        <v>1049</v>
      </c>
      <c r="D518" s="488">
        <v>318533</v>
      </c>
      <c r="E518" s="489">
        <v>0</v>
      </c>
      <c r="F518" s="490">
        <v>100</v>
      </c>
      <c r="G518" s="491">
        <v>0</v>
      </c>
    </row>
    <row r="519" spans="1:7" x14ac:dyDescent="0.3">
      <c r="A519" s="3449" t="s">
        <v>302</v>
      </c>
      <c r="B519" s="3450"/>
      <c r="C519" s="3450"/>
      <c r="D519" s="3450"/>
      <c r="E519" s="3450"/>
      <c r="F519" s="3450"/>
      <c r="G519" s="3450"/>
    </row>
    <row r="520" spans="1:7" x14ac:dyDescent="0.3">
      <c r="A520" s="11" t="s">
        <v>1067</v>
      </c>
      <c r="B520" s="11" t="s">
        <v>3157</v>
      </c>
      <c r="C520" s="500">
        <v>325</v>
      </c>
      <c r="D520" s="500">
        <v>81699.383537052694</v>
      </c>
      <c r="E520" s="501">
        <v>7649.5355758464502</v>
      </c>
      <c r="F520" s="502">
        <v>100</v>
      </c>
      <c r="G520" s="503">
        <v>0</v>
      </c>
    </row>
    <row r="521" spans="1:7" x14ac:dyDescent="0.3">
      <c r="A521" s="6" t="s">
        <v>1019</v>
      </c>
      <c r="B521" s="6" t="s">
        <v>1020</v>
      </c>
      <c r="C521" s="496">
        <v>724</v>
      </c>
      <c r="D521" s="496">
        <v>236833.61646294699</v>
      </c>
      <c r="E521" s="497">
        <v>7649.5355758464602</v>
      </c>
      <c r="F521" s="498">
        <v>100</v>
      </c>
      <c r="G521" s="499">
        <v>0</v>
      </c>
    </row>
    <row r="522" spans="1:7" x14ac:dyDescent="0.3">
      <c r="A522" s="11" t="s">
        <v>6354</v>
      </c>
      <c r="B522" s="11" t="s">
        <v>6355</v>
      </c>
      <c r="C522" s="500">
        <v>325</v>
      </c>
      <c r="D522" s="500">
        <v>81699.383537052694</v>
      </c>
      <c r="E522" s="501">
        <v>7649.5355758464502</v>
      </c>
      <c r="F522" s="502">
        <v>25.648640340891799</v>
      </c>
      <c r="G522" s="503">
        <v>2.40148919447795</v>
      </c>
    </row>
    <row r="523" spans="1:7" x14ac:dyDescent="0.3">
      <c r="A523" s="6" t="s">
        <v>6354</v>
      </c>
      <c r="B523" s="6" t="s">
        <v>6356</v>
      </c>
      <c r="C523" s="496">
        <v>1049</v>
      </c>
      <c r="D523" s="496">
        <v>318533</v>
      </c>
      <c r="E523" s="497">
        <v>0</v>
      </c>
      <c r="F523" s="498">
        <v>100</v>
      </c>
      <c r="G523" s="499">
        <v>0</v>
      </c>
    </row>
    <row r="524" spans="1:7" x14ac:dyDescent="0.3">
      <c r="A524" s="3449" t="s">
        <v>299</v>
      </c>
      <c r="B524" s="3450"/>
      <c r="C524" s="3450"/>
      <c r="D524" s="3450"/>
      <c r="E524" s="3450"/>
      <c r="F524" s="3450"/>
      <c r="G524" s="3450"/>
    </row>
    <row r="525" spans="1:7" x14ac:dyDescent="0.3">
      <c r="A525" s="11" t="s">
        <v>1019</v>
      </c>
      <c r="B525" s="11" t="s">
        <v>1020</v>
      </c>
      <c r="C525" s="508">
        <v>1048</v>
      </c>
      <c r="D525" s="508">
        <v>318479.70066658797</v>
      </c>
      <c r="E525" s="509">
        <v>52.293146541689197</v>
      </c>
      <c r="F525" s="510">
        <v>99.983267249103804</v>
      </c>
      <c r="G525" s="511">
        <v>1.6416869379845201E-2</v>
      </c>
    </row>
    <row r="526" spans="1:7" x14ac:dyDescent="0.3">
      <c r="A526" s="6" t="s">
        <v>1015</v>
      </c>
      <c r="B526" s="6" t="s">
        <v>1016</v>
      </c>
      <c r="C526" s="504">
        <v>1</v>
      </c>
      <c r="D526" s="504">
        <v>53.2993334121036</v>
      </c>
      <c r="E526" s="505">
        <v>52.2931465417062</v>
      </c>
      <c r="F526" s="506">
        <v>1.6732750896171999E-2</v>
      </c>
      <c r="G526" s="507">
        <v>1.6416869379846401E-2</v>
      </c>
    </row>
    <row r="527" spans="1:7" x14ac:dyDescent="0.3">
      <c r="A527" s="11" t="s">
        <v>6354</v>
      </c>
      <c r="B527" s="11" t="s">
        <v>6355</v>
      </c>
      <c r="C527" s="508">
        <v>0</v>
      </c>
      <c r="D527" s="508">
        <v>0</v>
      </c>
      <c r="E527" s="509">
        <v>0</v>
      </c>
      <c r="F527" s="510">
        <v>0</v>
      </c>
      <c r="G527" s="511">
        <v>0</v>
      </c>
    </row>
    <row r="528" spans="1:7" x14ac:dyDescent="0.3">
      <c r="A528" s="6" t="s">
        <v>6354</v>
      </c>
      <c r="B528" s="6" t="s">
        <v>6356</v>
      </c>
      <c r="C528" s="504">
        <v>1049</v>
      </c>
      <c r="D528" s="504">
        <v>318533</v>
      </c>
      <c r="E528" s="505">
        <v>0</v>
      </c>
      <c r="F528" s="506">
        <v>100</v>
      </c>
      <c r="G528" s="507">
        <v>0</v>
      </c>
    </row>
    <row r="529" spans="1:7" x14ac:dyDescent="0.3">
      <c r="A529" s="3449" t="s">
        <v>305</v>
      </c>
      <c r="B529" s="3450"/>
      <c r="C529" s="3450"/>
      <c r="D529" s="3450"/>
      <c r="E529" s="3450"/>
      <c r="F529" s="3450"/>
      <c r="G529" s="3450"/>
    </row>
    <row r="530" spans="1:7" x14ac:dyDescent="0.3">
      <c r="A530" s="11" t="s">
        <v>1019</v>
      </c>
      <c r="B530" s="11" t="s">
        <v>1020</v>
      </c>
      <c r="C530" s="516">
        <v>1049</v>
      </c>
      <c r="D530" s="516">
        <v>318533</v>
      </c>
      <c r="E530" s="517">
        <v>2.4423447799150501E-9</v>
      </c>
      <c r="F530" s="518">
        <v>100</v>
      </c>
      <c r="G530" s="519">
        <v>0</v>
      </c>
    </row>
    <row r="531" spans="1:7" x14ac:dyDescent="0.3">
      <c r="A531" s="6" t="s">
        <v>6354</v>
      </c>
      <c r="B531" s="6" t="s">
        <v>6355</v>
      </c>
      <c r="C531" s="512">
        <v>0</v>
      </c>
      <c r="D531" s="512">
        <v>0</v>
      </c>
      <c r="E531" s="513">
        <v>0</v>
      </c>
      <c r="F531" s="514">
        <v>0</v>
      </c>
      <c r="G531" s="515">
        <v>0</v>
      </c>
    </row>
    <row r="532" spans="1:7" x14ac:dyDescent="0.3">
      <c r="A532" s="11" t="s">
        <v>6354</v>
      </c>
      <c r="B532" s="11" t="s">
        <v>6356</v>
      </c>
      <c r="C532" s="516">
        <v>1049</v>
      </c>
      <c r="D532" s="516">
        <v>318533</v>
      </c>
      <c r="E532" s="517">
        <v>0</v>
      </c>
      <c r="F532" s="518">
        <v>100</v>
      </c>
      <c r="G532" s="519">
        <v>0</v>
      </c>
    </row>
    <row r="533" spans="1:7" x14ac:dyDescent="0.3">
      <c r="A533" s="3449" t="s">
        <v>250</v>
      </c>
      <c r="B533" s="3450"/>
      <c r="C533" s="3450"/>
      <c r="D533" s="3450"/>
      <c r="E533" s="3450"/>
      <c r="F533" s="3450"/>
      <c r="G533" s="3450"/>
    </row>
    <row r="534" spans="1:7" x14ac:dyDescent="0.3">
      <c r="A534" s="11" t="s">
        <v>1021</v>
      </c>
      <c r="B534" s="11"/>
      <c r="C534" s="524">
        <v>703</v>
      </c>
      <c r="D534" s="524">
        <v>225539.49247633701</v>
      </c>
      <c r="E534" s="525">
        <v>2135.3260126765499</v>
      </c>
      <c r="F534" s="526">
        <v>70.805691239631997</v>
      </c>
      <c r="G534" s="527">
        <v>0.67036257237911601</v>
      </c>
    </row>
    <row r="535" spans="1:7" x14ac:dyDescent="0.3">
      <c r="A535" s="6" t="s">
        <v>1023</v>
      </c>
      <c r="B535" s="6"/>
      <c r="C535" s="520">
        <v>346</v>
      </c>
      <c r="D535" s="520">
        <v>92993.507523662905</v>
      </c>
      <c r="E535" s="521">
        <v>2135.3260126762898</v>
      </c>
      <c r="F535" s="522">
        <v>29.194308760367999</v>
      </c>
      <c r="G535" s="523">
        <v>0.67036257237911501</v>
      </c>
    </row>
    <row r="536" spans="1:7" x14ac:dyDescent="0.3">
      <c r="A536" s="11" t="s">
        <v>6354</v>
      </c>
      <c r="B536" s="11" t="s">
        <v>6355</v>
      </c>
      <c r="C536" s="524">
        <v>1049</v>
      </c>
      <c r="D536" s="524">
        <v>318533</v>
      </c>
      <c r="E536" s="525">
        <v>1.4257906835894E-9</v>
      </c>
      <c r="F536" s="526">
        <v>100</v>
      </c>
      <c r="G536" s="527">
        <v>0</v>
      </c>
    </row>
    <row r="537" spans="1:7" x14ac:dyDescent="0.3">
      <c r="A537" s="6" t="s">
        <v>6354</v>
      </c>
      <c r="B537" s="6" t="s">
        <v>6356</v>
      </c>
      <c r="C537" s="520">
        <v>1049</v>
      </c>
      <c r="D537" s="520">
        <v>318533</v>
      </c>
      <c r="E537" s="521">
        <v>0</v>
      </c>
      <c r="F537" s="522">
        <v>100</v>
      </c>
      <c r="G537" s="523">
        <v>0</v>
      </c>
    </row>
    <row r="538" spans="1:7" x14ac:dyDescent="0.3">
      <c r="A538" s="3449" t="s">
        <v>164</v>
      </c>
      <c r="B538" s="3450"/>
      <c r="C538" s="3450"/>
      <c r="D538" s="3450"/>
      <c r="E538" s="3450"/>
      <c r="F538" s="3450"/>
      <c r="G538" s="3450"/>
    </row>
    <row r="539" spans="1:7" x14ac:dyDescent="0.3">
      <c r="A539" s="11" t="s">
        <v>6359</v>
      </c>
      <c r="B539" s="11"/>
      <c r="C539" s="532">
        <v>532</v>
      </c>
      <c r="D539" s="532">
        <v>148372.53953019899</v>
      </c>
      <c r="E539" s="533">
        <v>5989.790072449</v>
      </c>
      <c r="F539" s="534">
        <v>46.579958600898102</v>
      </c>
      <c r="G539" s="535">
        <v>1.88042999389356</v>
      </c>
    </row>
    <row r="540" spans="1:7" x14ac:dyDescent="0.3">
      <c r="A540" s="6" t="s">
        <v>6357</v>
      </c>
      <c r="B540" s="6"/>
      <c r="C540" s="528">
        <v>358</v>
      </c>
      <c r="D540" s="528">
        <v>108275.561898535</v>
      </c>
      <c r="E540" s="529">
        <v>4132.5709766349701</v>
      </c>
      <c r="F540" s="530">
        <v>33.991944915765501</v>
      </c>
      <c r="G540" s="531">
        <v>1.29737608870509</v>
      </c>
    </row>
    <row r="541" spans="1:7" x14ac:dyDescent="0.3">
      <c r="A541" s="11" t="s">
        <v>6358</v>
      </c>
      <c r="B541" s="11"/>
      <c r="C541" s="532">
        <v>80</v>
      </c>
      <c r="D541" s="532">
        <v>32887.678469119703</v>
      </c>
      <c r="E541" s="533">
        <v>3343.59417153712</v>
      </c>
      <c r="F541" s="534">
        <v>10.3247319647006</v>
      </c>
      <c r="G541" s="535">
        <v>1.0496853297891</v>
      </c>
    </row>
    <row r="542" spans="1:7" x14ac:dyDescent="0.3">
      <c r="A542" s="6" t="s">
        <v>1219</v>
      </c>
      <c r="B542" s="6"/>
      <c r="C542" s="528">
        <v>42</v>
      </c>
      <c r="D542" s="528">
        <v>13376.0666174038</v>
      </c>
      <c r="E542" s="529">
        <v>3005.9977982131199</v>
      </c>
      <c r="F542" s="530">
        <v>4.1992718548482504</v>
      </c>
      <c r="G542" s="531">
        <v>0.94370058933081502</v>
      </c>
    </row>
    <row r="543" spans="1:7" x14ac:dyDescent="0.3">
      <c r="A543" s="11" t="s">
        <v>6360</v>
      </c>
      <c r="B543" s="11"/>
      <c r="C543" s="532">
        <v>30</v>
      </c>
      <c r="D543" s="532">
        <v>13062.503336203899</v>
      </c>
      <c r="E543" s="533">
        <v>2984.9699647320499</v>
      </c>
      <c r="F543" s="534">
        <v>4.1008320444675697</v>
      </c>
      <c r="G543" s="535">
        <v>0.93709912779274096</v>
      </c>
    </row>
    <row r="544" spans="1:7" x14ac:dyDescent="0.3">
      <c r="A544" s="6" t="s">
        <v>6362</v>
      </c>
      <c r="B544" s="6"/>
      <c r="C544" s="528">
        <v>2</v>
      </c>
      <c r="D544" s="528">
        <v>1598.44973243037</v>
      </c>
      <c r="E544" s="529">
        <v>1111.3570750265999</v>
      </c>
      <c r="F544" s="530">
        <v>0.50181605435869303</v>
      </c>
      <c r="G544" s="531">
        <v>0.34889856781765199</v>
      </c>
    </row>
    <row r="545" spans="1:7" x14ac:dyDescent="0.3">
      <c r="A545" s="11" t="s">
        <v>6361</v>
      </c>
      <c r="B545" s="11"/>
      <c r="C545" s="532">
        <v>4</v>
      </c>
      <c r="D545" s="532">
        <v>772.43555654840497</v>
      </c>
      <c r="E545" s="533">
        <v>417.76465192527502</v>
      </c>
      <c r="F545" s="534">
        <v>0.24249781232977599</v>
      </c>
      <c r="G545" s="535">
        <v>0.13115270691742301</v>
      </c>
    </row>
    <row r="546" spans="1:7" x14ac:dyDescent="0.3">
      <c r="A546" s="6" t="s">
        <v>6363</v>
      </c>
      <c r="B546" s="6"/>
      <c r="C546" s="528">
        <v>1</v>
      </c>
      <c r="D546" s="528">
        <v>187.764859559651</v>
      </c>
      <c r="E546" s="529">
        <v>198.50008599876799</v>
      </c>
      <c r="F546" s="530">
        <v>5.8946752631485903E-2</v>
      </c>
      <c r="G546" s="531">
        <v>6.2316961193586803E-2</v>
      </c>
    </row>
    <row r="547" spans="1:7" x14ac:dyDescent="0.3">
      <c r="A547" s="11" t="s">
        <v>6354</v>
      </c>
      <c r="B547" s="11" t="s">
        <v>6355</v>
      </c>
      <c r="C547" s="532">
        <v>1049</v>
      </c>
      <c r="D547" s="532">
        <v>318533</v>
      </c>
      <c r="E547" s="533">
        <v>2.08226815090853E-9</v>
      </c>
      <c r="F547" s="534">
        <v>100</v>
      </c>
      <c r="G547" s="535">
        <v>1.8952927159495401E-13</v>
      </c>
    </row>
    <row r="548" spans="1:7" x14ac:dyDescent="0.3">
      <c r="A548" s="6" t="s">
        <v>6354</v>
      </c>
      <c r="B548" s="6" t="s">
        <v>6356</v>
      </c>
      <c r="C548" s="528">
        <v>1049</v>
      </c>
      <c r="D548" s="528">
        <v>318533</v>
      </c>
      <c r="E548" s="529">
        <v>0</v>
      </c>
      <c r="F548" s="530">
        <v>100</v>
      </c>
      <c r="G548" s="531">
        <v>0</v>
      </c>
    </row>
    <row r="549" spans="1:7" x14ac:dyDescent="0.3">
      <c r="A549" s="3449" t="s">
        <v>108</v>
      </c>
      <c r="B549" s="3450"/>
      <c r="C549" s="3450"/>
      <c r="D549" s="3450"/>
      <c r="E549" s="3450"/>
      <c r="F549" s="3450"/>
      <c r="G549" s="3450"/>
    </row>
    <row r="550" spans="1:7" x14ac:dyDescent="0.3">
      <c r="A550" s="11" t="s">
        <v>6360</v>
      </c>
      <c r="B550" s="11"/>
      <c r="C550" s="540">
        <v>132</v>
      </c>
      <c r="D550" s="540">
        <v>38947.576532500898</v>
      </c>
      <c r="E550" s="541">
        <v>5023.9488354900604</v>
      </c>
      <c r="F550" s="542">
        <v>12.227171606238899</v>
      </c>
      <c r="G550" s="543">
        <v>1.57721455406193</v>
      </c>
    </row>
    <row r="551" spans="1:7" x14ac:dyDescent="0.3">
      <c r="A551" s="6" t="s">
        <v>6359</v>
      </c>
      <c r="B551" s="6"/>
      <c r="C551" s="536">
        <v>98</v>
      </c>
      <c r="D551" s="536">
        <v>26192.072790697599</v>
      </c>
      <c r="E551" s="537">
        <v>4135.1311528762199</v>
      </c>
      <c r="F551" s="538">
        <v>8.2227187734701399</v>
      </c>
      <c r="G551" s="539">
        <v>1.2981798284247501</v>
      </c>
    </row>
    <row r="552" spans="1:7" x14ac:dyDescent="0.3">
      <c r="A552" s="11" t="s">
        <v>6364</v>
      </c>
      <c r="B552" s="11"/>
      <c r="C552" s="540">
        <v>80</v>
      </c>
      <c r="D552" s="540">
        <v>24224.346855810501</v>
      </c>
      <c r="E552" s="541">
        <v>2868.6416060330298</v>
      </c>
      <c r="F552" s="542">
        <v>7.6049724379610701</v>
      </c>
      <c r="G552" s="543">
        <v>0.90057909417015702</v>
      </c>
    </row>
    <row r="553" spans="1:7" x14ac:dyDescent="0.3">
      <c r="A553" s="6" t="s">
        <v>6362</v>
      </c>
      <c r="B553" s="6"/>
      <c r="C553" s="536">
        <v>75</v>
      </c>
      <c r="D553" s="536">
        <v>22283.2313422843</v>
      </c>
      <c r="E553" s="537">
        <v>2127.3238338374099</v>
      </c>
      <c r="F553" s="538">
        <v>6.99558015724722</v>
      </c>
      <c r="G553" s="539">
        <v>0.66785037463540897</v>
      </c>
    </row>
    <row r="554" spans="1:7" x14ac:dyDescent="0.3">
      <c r="A554" s="11" t="s">
        <v>1063</v>
      </c>
      <c r="B554" s="11"/>
      <c r="C554" s="540">
        <v>63</v>
      </c>
      <c r="D554" s="540">
        <v>20954.610374491102</v>
      </c>
      <c r="E554" s="541">
        <v>3463.1528600845299</v>
      </c>
      <c r="F554" s="542">
        <v>6.5784739334672198</v>
      </c>
      <c r="G554" s="543">
        <v>1.08721949062877</v>
      </c>
    </row>
    <row r="555" spans="1:7" x14ac:dyDescent="0.3">
      <c r="A555" s="6" t="s">
        <v>1219</v>
      </c>
      <c r="B555" s="6"/>
      <c r="C555" s="536">
        <v>101</v>
      </c>
      <c r="D555" s="536">
        <v>20575.1107545251</v>
      </c>
      <c r="E555" s="537">
        <v>2335.1455530282801</v>
      </c>
      <c r="F555" s="538">
        <v>6.4593341206484496</v>
      </c>
      <c r="G555" s="539">
        <v>0.73309376203667398</v>
      </c>
    </row>
    <row r="556" spans="1:7" x14ac:dyDescent="0.3">
      <c r="A556" s="11" t="s">
        <v>6361</v>
      </c>
      <c r="B556" s="11"/>
      <c r="C556" s="540">
        <v>69</v>
      </c>
      <c r="D556" s="540">
        <v>20221.403871753901</v>
      </c>
      <c r="E556" s="541">
        <v>3356.54549881497</v>
      </c>
      <c r="F556" s="542">
        <v>6.3482916594996102</v>
      </c>
      <c r="G556" s="543">
        <v>1.0537512593090701</v>
      </c>
    </row>
    <row r="557" spans="1:7" x14ac:dyDescent="0.3">
      <c r="A557" s="6" t="s">
        <v>6363</v>
      </c>
      <c r="B557" s="6"/>
      <c r="C557" s="536">
        <v>59</v>
      </c>
      <c r="D557" s="536">
        <v>18424.583647650099</v>
      </c>
      <c r="E557" s="537">
        <v>2819.6301931236299</v>
      </c>
      <c r="F557" s="538">
        <v>5.7841993286881204</v>
      </c>
      <c r="G557" s="539">
        <v>0.88519248967097097</v>
      </c>
    </row>
    <row r="558" spans="1:7" x14ac:dyDescent="0.3">
      <c r="A558" s="11" t="s">
        <v>1067</v>
      </c>
      <c r="B558" s="11"/>
      <c r="C558" s="540">
        <v>42</v>
      </c>
      <c r="D558" s="540">
        <v>17065.436604169601</v>
      </c>
      <c r="E558" s="541">
        <v>5104.9638094818101</v>
      </c>
      <c r="F558" s="542">
        <v>5.3575097726670604</v>
      </c>
      <c r="G558" s="543">
        <v>1.6026483314073601</v>
      </c>
    </row>
    <row r="559" spans="1:7" x14ac:dyDescent="0.3">
      <c r="A559" s="6" t="s">
        <v>6358</v>
      </c>
      <c r="B559" s="6"/>
      <c r="C559" s="536">
        <v>72</v>
      </c>
      <c r="D559" s="536">
        <v>15848.310694006001</v>
      </c>
      <c r="E559" s="537">
        <v>2598.1749818420399</v>
      </c>
      <c r="F559" s="538">
        <v>4.9754062197656204</v>
      </c>
      <c r="G559" s="539">
        <v>0.81566901446382101</v>
      </c>
    </row>
    <row r="560" spans="1:7" x14ac:dyDescent="0.3">
      <c r="A560" s="11" t="s">
        <v>1065</v>
      </c>
      <c r="B560" s="11"/>
      <c r="C560" s="540">
        <v>39</v>
      </c>
      <c r="D560" s="540">
        <v>13525.963730777899</v>
      </c>
      <c r="E560" s="541">
        <v>3568.0167487058402</v>
      </c>
      <c r="F560" s="542">
        <v>4.2463304369650698</v>
      </c>
      <c r="G560" s="543">
        <v>1.12014037751374</v>
      </c>
    </row>
    <row r="561" spans="1:7" x14ac:dyDescent="0.3">
      <c r="A561" s="6" t="s">
        <v>6365</v>
      </c>
      <c r="B561" s="6"/>
      <c r="C561" s="536">
        <v>45</v>
      </c>
      <c r="D561" s="536">
        <v>13123.3760489753</v>
      </c>
      <c r="E561" s="537">
        <v>3295.1336366207902</v>
      </c>
      <c r="F561" s="538">
        <v>4.11994237613537</v>
      </c>
      <c r="G561" s="539">
        <v>1.0344716674946699</v>
      </c>
    </row>
    <row r="562" spans="1:7" x14ac:dyDescent="0.3">
      <c r="A562" s="11" t="s">
        <v>1069</v>
      </c>
      <c r="B562" s="11"/>
      <c r="C562" s="540">
        <v>33</v>
      </c>
      <c r="D562" s="540">
        <v>13095.4591938673</v>
      </c>
      <c r="E562" s="541">
        <v>4503.60556392731</v>
      </c>
      <c r="F562" s="542">
        <v>4.1111781805550098</v>
      </c>
      <c r="G562" s="543">
        <v>1.4138583958105799</v>
      </c>
    </row>
    <row r="563" spans="1:7" x14ac:dyDescent="0.3">
      <c r="A563" s="6" t="s">
        <v>1071</v>
      </c>
      <c r="B563" s="6"/>
      <c r="C563" s="536">
        <v>24</v>
      </c>
      <c r="D563" s="536">
        <v>12836.262832787501</v>
      </c>
      <c r="E563" s="537">
        <v>4566.6085944609704</v>
      </c>
      <c r="F563" s="538">
        <v>4.0298062784036599</v>
      </c>
      <c r="G563" s="539">
        <v>1.4336375177645599</v>
      </c>
    </row>
    <row r="564" spans="1:7" x14ac:dyDescent="0.3">
      <c r="A564" s="11" t="s">
        <v>1073</v>
      </c>
      <c r="B564" s="11"/>
      <c r="C564" s="540">
        <v>22</v>
      </c>
      <c r="D564" s="540">
        <v>8254.9214898398204</v>
      </c>
      <c r="E564" s="541">
        <v>2209.5643084521098</v>
      </c>
      <c r="F564" s="542">
        <v>2.59154357314307</v>
      </c>
      <c r="G564" s="543">
        <v>0.69366888468451204</v>
      </c>
    </row>
    <row r="565" spans="1:7" x14ac:dyDescent="0.3">
      <c r="A565" s="6" t="s">
        <v>1077</v>
      </c>
      <c r="B565" s="6"/>
      <c r="C565" s="536">
        <v>13</v>
      </c>
      <c r="D565" s="536">
        <v>5258.0869262934802</v>
      </c>
      <c r="E565" s="537">
        <v>1984.00097421904</v>
      </c>
      <c r="F565" s="538">
        <v>1.65071968251123</v>
      </c>
      <c r="G565" s="539">
        <v>0.62285570858248296</v>
      </c>
    </row>
    <row r="566" spans="1:7" x14ac:dyDescent="0.3">
      <c r="A566" s="11" t="s">
        <v>1079</v>
      </c>
      <c r="B566" s="11"/>
      <c r="C566" s="540">
        <v>15</v>
      </c>
      <c r="D566" s="540">
        <v>5091.9318083984399</v>
      </c>
      <c r="E566" s="541">
        <v>2260.8158737179001</v>
      </c>
      <c r="F566" s="542">
        <v>1.5985570752162099</v>
      </c>
      <c r="G566" s="543">
        <v>0.70975876085614498</v>
      </c>
    </row>
    <row r="567" spans="1:7" x14ac:dyDescent="0.3">
      <c r="A567" s="6" t="s">
        <v>1075</v>
      </c>
      <c r="B567" s="6"/>
      <c r="C567" s="536">
        <v>14</v>
      </c>
      <c r="D567" s="536">
        <v>4758.3150861977902</v>
      </c>
      <c r="E567" s="537">
        <v>1691.97858176722</v>
      </c>
      <c r="F567" s="538">
        <v>1.49382170330791</v>
      </c>
      <c r="G567" s="539">
        <v>0.53117842790769698</v>
      </c>
    </row>
    <row r="568" spans="1:7" x14ac:dyDescent="0.3">
      <c r="A568" s="11" t="s">
        <v>1081</v>
      </c>
      <c r="B568" s="11"/>
      <c r="C568" s="540">
        <v>9</v>
      </c>
      <c r="D568" s="540">
        <v>3906.8099863859202</v>
      </c>
      <c r="E568" s="541">
        <v>1054.73638707176</v>
      </c>
      <c r="F568" s="542">
        <v>1.2265008606285399</v>
      </c>
      <c r="G568" s="543">
        <v>0.33112311348329998</v>
      </c>
    </row>
    <row r="569" spans="1:7" x14ac:dyDescent="0.3">
      <c r="A569" s="6" t="s">
        <v>6357</v>
      </c>
      <c r="B569" s="6"/>
      <c r="C569" s="536">
        <v>11</v>
      </c>
      <c r="D569" s="536">
        <v>3009.77796521246</v>
      </c>
      <c r="E569" s="537">
        <v>1099.56209422797</v>
      </c>
      <c r="F569" s="538">
        <v>0.944887331991492</v>
      </c>
      <c r="G569" s="539">
        <v>0.34519566080373798</v>
      </c>
    </row>
    <row r="570" spans="1:7" x14ac:dyDescent="0.3">
      <c r="A570" s="11" t="s">
        <v>1114</v>
      </c>
      <c r="B570" s="11"/>
      <c r="C570" s="540">
        <v>6</v>
      </c>
      <c r="D570" s="540">
        <v>2862.9874453817602</v>
      </c>
      <c r="E570" s="541">
        <v>2238.2705030123102</v>
      </c>
      <c r="F570" s="542">
        <v>0.898804031413312</v>
      </c>
      <c r="G570" s="543">
        <v>0.70268088487293701</v>
      </c>
    </row>
    <row r="571" spans="1:7" x14ac:dyDescent="0.3">
      <c r="A571" s="6" t="s">
        <v>1222</v>
      </c>
      <c r="B571" s="6"/>
      <c r="C571" s="536">
        <v>6</v>
      </c>
      <c r="D571" s="536">
        <v>2232.2241242014402</v>
      </c>
      <c r="E571" s="537">
        <v>1566.44818792461</v>
      </c>
      <c r="F571" s="538">
        <v>0.70078268945492095</v>
      </c>
      <c r="G571" s="539">
        <v>0.49176951459491203</v>
      </c>
    </row>
    <row r="572" spans="1:7" x14ac:dyDescent="0.3">
      <c r="A572" s="11" t="s">
        <v>1116</v>
      </c>
      <c r="B572" s="11"/>
      <c r="C572" s="540">
        <v>8</v>
      </c>
      <c r="D572" s="540">
        <v>2178.7264727555098</v>
      </c>
      <c r="E572" s="541">
        <v>827.34786501948304</v>
      </c>
      <c r="F572" s="542">
        <v>0.68398767875087096</v>
      </c>
      <c r="G572" s="543">
        <v>0.25973693934992098</v>
      </c>
    </row>
    <row r="573" spans="1:7" x14ac:dyDescent="0.3">
      <c r="A573" s="6" t="s">
        <v>1118</v>
      </c>
      <c r="B573" s="6"/>
      <c r="C573" s="536">
        <v>2</v>
      </c>
      <c r="D573" s="536">
        <v>1344.88105966935</v>
      </c>
      <c r="E573" s="537">
        <v>1445.9276216032699</v>
      </c>
      <c r="F573" s="538">
        <v>0.42221090426089303</v>
      </c>
      <c r="G573" s="539">
        <v>0.45393338260188798</v>
      </c>
    </row>
    <row r="574" spans="1:7" x14ac:dyDescent="0.3">
      <c r="A574" s="11" t="s">
        <v>3103</v>
      </c>
      <c r="B574" s="11"/>
      <c r="C574" s="540">
        <v>3</v>
      </c>
      <c r="D574" s="540">
        <v>905.16745908428402</v>
      </c>
      <c r="E574" s="541">
        <v>713.39460640646598</v>
      </c>
      <c r="F574" s="542">
        <v>0.284167561629183</v>
      </c>
      <c r="G574" s="543">
        <v>0.223962542784096</v>
      </c>
    </row>
    <row r="575" spans="1:7" x14ac:dyDescent="0.3">
      <c r="A575" s="6" t="s">
        <v>3101</v>
      </c>
      <c r="B575" s="6"/>
      <c r="C575" s="536">
        <v>1</v>
      </c>
      <c r="D575" s="536">
        <v>626.73816765916399</v>
      </c>
      <c r="E575" s="537">
        <v>635.58395662518399</v>
      </c>
      <c r="F575" s="538">
        <v>0.196757688421345</v>
      </c>
      <c r="G575" s="539">
        <v>0.199534728466182</v>
      </c>
    </row>
    <row r="576" spans="1:7" x14ac:dyDescent="0.3">
      <c r="A576" s="11" t="s">
        <v>1120</v>
      </c>
      <c r="B576" s="11"/>
      <c r="C576" s="540">
        <v>3</v>
      </c>
      <c r="D576" s="540">
        <v>387.14194677912502</v>
      </c>
      <c r="E576" s="541">
        <v>404.93903951070001</v>
      </c>
      <c r="F576" s="542">
        <v>0.12153903889993301</v>
      </c>
      <c r="G576" s="543">
        <v>0.12712624422295299</v>
      </c>
    </row>
    <row r="577" spans="1:7" x14ac:dyDescent="0.3">
      <c r="A577" s="6" t="s">
        <v>3116</v>
      </c>
      <c r="B577" s="6"/>
      <c r="C577" s="536">
        <v>1</v>
      </c>
      <c r="D577" s="536">
        <v>207.912810362698</v>
      </c>
      <c r="E577" s="537">
        <v>217.58936076067599</v>
      </c>
      <c r="F577" s="538">
        <v>6.5271984492249802E-2</v>
      </c>
      <c r="G577" s="539">
        <v>6.8309833128961897E-2</v>
      </c>
    </row>
    <row r="578" spans="1:7" x14ac:dyDescent="0.3">
      <c r="A578" s="11" t="s">
        <v>3107</v>
      </c>
      <c r="B578" s="11"/>
      <c r="C578" s="540">
        <v>1</v>
      </c>
      <c r="D578" s="540">
        <v>189.63197748138899</v>
      </c>
      <c r="E578" s="541">
        <v>200.53102323478899</v>
      </c>
      <c r="F578" s="542">
        <v>5.9532914166315301E-2</v>
      </c>
      <c r="G578" s="543">
        <v>6.2954552035358796E-2</v>
      </c>
    </row>
    <row r="579" spans="1:7" x14ac:dyDescent="0.3">
      <c r="A579" s="6" t="s">
        <v>6354</v>
      </c>
      <c r="B579" s="6" t="s">
        <v>6355</v>
      </c>
      <c r="C579" s="536">
        <v>1047</v>
      </c>
      <c r="D579" s="536">
        <v>318533</v>
      </c>
      <c r="E579" s="537">
        <v>1.0628734365971E-9</v>
      </c>
      <c r="F579" s="538">
        <v>100</v>
      </c>
      <c r="G579" s="539">
        <v>9.5320444878948101E-14</v>
      </c>
    </row>
    <row r="580" spans="1:7" x14ac:dyDescent="0.3">
      <c r="A580" s="11" t="s">
        <v>6354</v>
      </c>
      <c r="B580" s="11" t="s">
        <v>6356</v>
      </c>
      <c r="C580" s="540">
        <v>1047</v>
      </c>
      <c r="D580" s="540">
        <v>318533</v>
      </c>
      <c r="E580" s="541">
        <v>0</v>
      </c>
      <c r="F580" s="542">
        <v>100</v>
      </c>
      <c r="G580" s="543">
        <v>0</v>
      </c>
    </row>
    <row r="581" spans="1:7" x14ac:dyDescent="0.3">
      <c r="A581" s="3449" t="s">
        <v>258</v>
      </c>
      <c r="B581" s="3450"/>
      <c r="C581" s="3450"/>
      <c r="D581" s="3450"/>
      <c r="E581" s="3450"/>
      <c r="F581" s="3450"/>
      <c r="G581" s="3450"/>
    </row>
    <row r="582" spans="1:7" x14ac:dyDescent="0.3">
      <c r="A582" s="11" t="s">
        <v>6398</v>
      </c>
      <c r="B582" s="11"/>
      <c r="C582" s="548">
        <v>1048</v>
      </c>
      <c r="D582" s="548">
        <v>318456.27697543497</v>
      </c>
      <c r="E582" s="549">
        <v>83.344670271500206</v>
      </c>
      <c r="F582" s="550">
        <v>99.975913633888794</v>
      </c>
      <c r="G582" s="551">
        <v>2.6165160366960299E-2</v>
      </c>
    </row>
    <row r="583" spans="1:7" x14ac:dyDescent="0.3">
      <c r="A583" s="6" t="s">
        <v>6399</v>
      </c>
      <c r="B583" s="6"/>
      <c r="C583" s="544">
        <v>1</v>
      </c>
      <c r="D583" s="544">
        <v>76.723024565102307</v>
      </c>
      <c r="E583" s="545">
        <v>83.344670271671802</v>
      </c>
      <c r="F583" s="546">
        <v>2.4086366111235699E-2</v>
      </c>
      <c r="G583" s="547">
        <v>2.6165160366954699E-2</v>
      </c>
    </row>
    <row r="584" spans="1:7" x14ac:dyDescent="0.3">
      <c r="A584" s="11" t="s">
        <v>6354</v>
      </c>
      <c r="B584" s="11" t="s">
        <v>6355</v>
      </c>
      <c r="C584" s="548">
        <v>1049</v>
      </c>
      <c r="D584" s="548">
        <v>318533</v>
      </c>
      <c r="E584" s="549">
        <v>2.4334104317907499E-9</v>
      </c>
      <c r="F584" s="550">
        <v>100</v>
      </c>
      <c r="G584" s="551">
        <v>2.29838001744816E-14</v>
      </c>
    </row>
    <row r="585" spans="1:7" x14ac:dyDescent="0.3">
      <c r="A585" s="6" t="s">
        <v>6354</v>
      </c>
      <c r="B585" s="6" t="s">
        <v>6356</v>
      </c>
      <c r="C585" s="544">
        <v>1049</v>
      </c>
      <c r="D585" s="544">
        <v>318533</v>
      </c>
      <c r="E585" s="545">
        <v>0</v>
      </c>
      <c r="F585" s="546">
        <v>100</v>
      </c>
      <c r="G585" s="547">
        <v>0</v>
      </c>
    </row>
    <row r="586" spans="1:7" x14ac:dyDescent="0.3">
      <c r="A586" s="3449" t="s">
        <v>260</v>
      </c>
      <c r="B586" s="3450"/>
      <c r="C586" s="3450"/>
      <c r="D586" s="3450"/>
      <c r="E586" s="3450"/>
      <c r="F586" s="3450"/>
      <c r="G586" s="3450"/>
    </row>
    <row r="587" spans="1:7" x14ac:dyDescent="0.3">
      <c r="A587" s="11" t="s">
        <v>1226</v>
      </c>
      <c r="B587" s="11" t="s">
        <v>3124</v>
      </c>
      <c r="C587" s="556">
        <v>1048</v>
      </c>
      <c r="D587" s="556">
        <v>318456.27697543497</v>
      </c>
      <c r="E587" s="557">
        <v>83.344670271500206</v>
      </c>
      <c r="F587" s="558">
        <v>99.975913633888794</v>
      </c>
      <c r="G587" s="559">
        <v>2.6165160366960299E-2</v>
      </c>
    </row>
    <row r="588" spans="1:7" x14ac:dyDescent="0.3">
      <c r="A588" s="6" t="s">
        <v>1081</v>
      </c>
      <c r="B588" s="6" t="s">
        <v>3093</v>
      </c>
      <c r="C588" s="552">
        <v>1</v>
      </c>
      <c r="D588" s="552">
        <v>76.723024565102307</v>
      </c>
      <c r="E588" s="553">
        <v>83.344670271671802</v>
      </c>
      <c r="F588" s="554">
        <v>2.4086366111235699E-2</v>
      </c>
      <c r="G588" s="555">
        <v>2.6165160366954699E-2</v>
      </c>
    </row>
    <row r="589" spans="1:7" x14ac:dyDescent="0.3">
      <c r="A589" s="11" t="s">
        <v>6354</v>
      </c>
      <c r="B589" s="11" t="s">
        <v>6355</v>
      </c>
      <c r="C589" s="556">
        <v>1049</v>
      </c>
      <c r="D589" s="556">
        <v>318533</v>
      </c>
      <c r="E589" s="557">
        <v>2.4334104317907499E-9</v>
      </c>
      <c r="F589" s="558">
        <v>100</v>
      </c>
      <c r="G589" s="559">
        <v>2.29838001744816E-14</v>
      </c>
    </row>
    <row r="590" spans="1:7" x14ac:dyDescent="0.3">
      <c r="A590" s="6" t="s">
        <v>6354</v>
      </c>
      <c r="B590" s="6" t="s">
        <v>6356</v>
      </c>
      <c r="C590" s="552">
        <v>1049</v>
      </c>
      <c r="D590" s="552">
        <v>318533</v>
      </c>
      <c r="E590" s="553">
        <v>0</v>
      </c>
      <c r="F590" s="554">
        <v>100</v>
      </c>
      <c r="G590" s="555">
        <v>0</v>
      </c>
    </row>
    <row r="591" spans="1:7" x14ac:dyDescent="0.3">
      <c r="A591" s="3449" t="s">
        <v>450</v>
      </c>
      <c r="B591" s="3450"/>
      <c r="C591" s="3450"/>
      <c r="D591" s="3450"/>
      <c r="E591" s="3450"/>
      <c r="F591" s="3450"/>
      <c r="G591" s="3450"/>
    </row>
    <row r="592" spans="1:7" x14ac:dyDescent="0.3">
      <c r="A592" s="11" t="s">
        <v>6359</v>
      </c>
      <c r="B592" s="11"/>
      <c r="C592" s="564">
        <v>575</v>
      </c>
      <c r="D592" s="564">
        <v>168344.29659050499</v>
      </c>
      <c r="E592" s="565">
        <v>8484.5880307200296</v>
      </c>
      <c r="F592" s="566">
        <v>52.8498763363622</v>
      </c>
      <c r="G592" s="567">
        <v>2.66364490671927</v>
      </c>
    </row>
    <row r="593" spans="1:7" x14ac:dyDescent="0.3">
      <c r="A593" s="6" t="s">
        <v>6357</v>
      </c>
      <c r="B593" s="6"/>
      <c r="C593" s="560">
        <v>366</v>
      </c>
      <c r="D593" s="560">
        <v>106665.662856946</v>
      </c>
      <c r="E593" s="561">
        <v>4197.8688428999703</v>
      </c>
      <c r="F593" s="562">
        <v>33.486534474275999</v>
      </c>
      <c r="G593" s="563">
        <v>1.3178756495873001</v>
      </c>
    </row>
    <row r="594" spans="1:7" x14ac:dyDescent="0.3">
      <c r="A594" s="11" t="s">
        <v>6358</v>
      </c>
      <c r="B594" s="11"/>
      <c r="C594" s="564">
        <v>80</v>
      </c>
      <c r="D594" s="564">
        <v>28480.7005066235</v>
      </c>
      <c r="E594" s="565">
        <v>3874.1314806278801</v>
      </c>
      <c r="F594" s="566">
        <v>8.9412087622392296</v>
      </c>
      <c r="G594" s="567">
        <v>1.21624179618058</v>
      </c>
    </row>
    <row r="595" spans="1:7" x14ac:dyDescent="0.3">
      <c r="A595" s="6" t="s">
        <v>6360</v>
      </c>
      <c r="B595" s="6"/>
      <c r="C595" s="560">
        <v>18</v>
      </c>
      <c r="D595" s="560">
        <v>8117.0749894520504</v>
      </c>
      <c r="E595" s="561">
        <v>2589.6839229042298</v>
      </c>
      <c r="F595" s="562">
        <v>2.5482681510085499</v>
      </c>
      <c r="G595" s="563">
        <v>0.81300333808560898</v>
      </c>
    </row>
    <row r="596" spans="1:7" x14ac:dyDescent="0.3">
      <c r="A596" s="11" t="s">
        <v>6361</v>
      </c>
      <c r="B596" s="11"/>
      <c r="C596" s="564">
        <v>6</v>
      </c>
      <c r="D596" s="564">
        <v>3477.9953062480199</v>
      </c>
      <c r="E596" s="565">
        <v>1882.4919645167299</v>
      </c>
      <c r="F596" s="566">
        <v>1.09187911652734</v>
      </c>
      <c r="G596" s="567">
        <v>0.59098804975206198</v>
      </c>
    </row>
    <row r="597" spans="1:7" x14ac:dyDescent="0.3">
      <c r="A597" s="6" t="s">
        <v>6362</v>
      </c>
      <c r="B597" s="6"/>
      <c r="C597" s="560">
        <v>4</v>
      </c>
      <c r="D597" s="560">
        <v>3447.2697502261799</v>
      </c>
      <c r="E597" s="561">
        <v>2290.4461242263601</v>
      </c>
      <c r="F597" s="562">
        <v>1.0822331595866601</v>
      </c>
      <c r="G597" s="563">
        <v>0.71906085844366396</v>
      </c>
    </row>
    <row r="598" spans="1:7" x14ac:dyDescent="0.3">
      <c r="A598" s="11" t="s">
        <v>6354</v>
      </c>
      <c r="B598" s="11" t="s">
        <v>6355</v>
      </c>
      <c r="C598" s="564">
        <v>1049</v>
      </c>
      <c r="D598" s="564">
        <v>318533</v>
      </c>
      <c r="E598" s="565">
        <v>1.6004460729737199E-9</v>
      </c>
      <c r="F598" s="566">
        <v>100</v>
      </c>
      <c r="G598" s="567">
        <v>1.02786679142825E-14</v>
      </c>
    </row>
    <row r="599" spans="1:7" x14ac:dyDescent="0.3">
      <c r="A599" s="6" t="s">
        <v>6354</v>
      </c>
      <c r="B599" s="6" t="s">
        <v>6356</v>
      </c>
      <c r="C599" s="560">
        <v>1049</v>
      </c>
      <c r="D599" s="560">
        <v>318533</v>
      </c>
      <c r="E599" s="561">
        <v>0</v>
      </c>
      <c r="F599" s="562">
        <v>100</v>
      </c>
      <c r="G599" s="563">
        <v>0</v>
      </c>
    </row>
    <row r="600" spans="1:7" x14ac:dyDescent="0.3">
      <c r="A600" s="3449" t="s">
        <v>1002</v>
      </c>
      <c r="B600" s="3450"/>
      <c r="C600" s="3450"/>
      <c r="D600" s="3450"/>
      <c r="E600" s="3450"/>
      <c r="F600" s="3450"/>
      <c r="G600" s="3450"/>
    </row>
    <row r="601" spans="1:7" x14ac:dyDescent="0.3">
      <c r="A601" s="11" t="s">
        <v>1219</v>
      </c>
      <c r="B601" s="11"/>
      <c r="C601" s="572">
        <v>974</v>
      </c>
      <c r="D601" s="572">
        <v>282186.72055603098</v>
      </c>
      <c r="E601" s="573">
        <v>4000.7860619685898</v>
      </c>
      <c r="F601" s="574">
        <v>88.589477559948506</v>
      </c>
      <c r="G601" s="575">
        <v>1.25600363603409</v>
      </c>
    </row>
    <row r="602" spans="1:7" x14ac:dyDescent="0.3">
      <c r="A602" s="6" t="s">
        <v>6357</v>
      </c>
      <c r="B602" s="6"/>
      <c r="C602" s="568">
        <v>59</v>
      </c>
      <c r="D602" s="568">
        <v>27723.674585132499</v>
      </c>
      <c r="E602" s="569">
        <v>4641.0697631330904</v>
      </c>
      <c r="F602" s="570">
        <v>8.7035486386441896</v>
      </c>
      <c r="G602" s="571">
        <v>1.4570137986121099</v>
      </c>
    </row>
    <row r="603" spans="1:7" x14ac:dyDescent="0.3">
      <c r="A603" s="11" t="s">
        <v>6359</v>
      </c>
      <c r="B603" s="11"/>
      <c r="C603" s="572">
        <v>14</v>
      </c>
      <c r="D603" s="572">
        <v>6827.7472203041498</v>
      </c>
      <c r="E603" s="573">
        <v>2238.8889032601801</v>
      </c>
      <c r="F603" s="574">
        <v>2.14349760316958</v>
      </c>
      <c r="G603" s="575">
        <v>0.702875024961362</v>
      </c>
    </row>
    <row r="604" spans="1:7" x14ac:dyDescent="0.3">
      <c r="A604" s="6" t="s">
        <v>6358</v>
      </c>
      <c r="B604" s="6"/>
      <c r="C604" s="568">
        <v>2</v>
      </c>
      <c r="D604" s="568">
        <v>1794.8576385326701</v>
      </c>
      <c r="E604" s="569">
        <v>2009.37754570884</v>
      </c>
      <c r="F604" s="570">
        <v>0.56347619823775497</v>
      </c>
      <c r="G604" s="571">
        <v>0.63082240951764601</v>
      </c>
    </row>
    <row r="605" spans="1:7" x14ac:dyDescent="0.3">
      <c r="A605" s="11" t="s">
        <v>6354</v>
      </c>
      <c r="B605" s="11" t="s">
        <v>6355</v>
      </c>
      <c r="C605" s="572">
        <v>1049</v>
      </c>
      <c r="D605" s="572">
        <v>318533</v>
      </c>
      <c r="E605" s="573">
        <v>1.21222157990174E-9</v>
      </c>
      <c r="F605" s="574">
        <v>100</v>
      </c>
      <c r="G605" s="575">
        <v>1.78031750616652E-14</v>
      </c>
    </row>
    <row r="606" spans="1:7" x14ac:dyDescent="0.3">
      <c r="A606" s="6" t="s">
        <v>6354</v>
      </c>
      <c r="B606" s="6" t="s">
        <v>6356</v>
      </c>
      <c r="C606" s="568">
        <v>1049</v>
      </c>
      <c r="D606" s="568">
        <v>318533</v>
      </c>
      <c r="E606" s="569">
        <v>0</v>
      </c>
      <c r="F606" s="570">
        <v>100</v>
      </c>
      <c r="G606" s="571">
        <v>0</v>
      </c>
    </row>
    <row r="607" spans="1:7" x14ac:dyDescent="0.3">
      <c r="A607" s="3449" t="s">
        <v>973</v>
      </c>
      <c r="B607" s="3450"/>
      <c r="C607" s="3450"/>
      <c r="D607" s="3450"/>
      <c r="E607" s="3450"/>
      <c r="F607" s="3450"/>
      <c r="G607" s="3450"/>
    </row>
    <row r="608" spans="1:7" x14ac:dyDescent="0.3">
      <c r="A608" s="11" t="s">
        <v>6357</v>
      </c>
      <c r="B608" s="11"/>
      <c r="C608" s="580">
        <v>376</v>
      </c>
      <c r="D608" s="580">
        <v>121435.723681567</v>
      </c>
      <c r="E608" s="581">
        <v>6281.0092365071196</v>
      </c>
      <c r="F608" s="582">
        <v>38.123435776376901</v>
      </c>
      <c r="G608" s="583">
        <v>1.9718551096768999</v>
      </c>
    </row>
    <row r="609" spans="1:7" x14ac:dyDescent="0.3">
      <c r="A609" s="6" t="s">
        <v>6359</v>
      </c>
      <c r="B609" s="6"/>
      <c r="C609" s="576">
        <v>268</v>
      </c>
      <c r="D609" s="576">
        <v>98769.557041140302</v>
      </c>
      <c r="E609" s="577">
        <v>5683.8270468293804</v>
      </c>
      <c r="F609" s="578">
        <v>31.007637212201001</v>
      </c>
      <c r="G609" s="579">
        <v>1.7843762017842399</v>
      </c>
    </row>
    <row r="610" spans="1:7" x14ac:dyDescent="0.3">
      <c r="A610" s="11" t="s">
        <v>1219</v>
      </c>
      <c r="B610" s="11"/>
      <c r="C610" s="580">
        <v>359</v>
      </c>
      <c r="D610" s="580">
        <v>76672</v>
      </c>
      <c r="E610" s="581">
        <v>3.95778464407388E-10</v>
      </c>
      <c r="F610" s="582">
        <v>24.070347499317201</v>
      </c>
      <c r="G610" s="583">
        <v>1.3878580801604301E-13</v>
      </c>
    </row>
    <row r="611" spans="1:7" x14ac:dyDescent="0.3">
      <c r="A611" s="6" t="s">
        <v>6358</v>
      </c>
      <c r="B611" s="6"/>
      <c r="C611" s="576">
        <v>35</v>
      </c>
      <c r="D611" s="576">
        <v>13972.962116680001</v>
      </c>
      <c r="E611" s="577">
        <v>2843.08737701479</v>
      </c>
      <c r="F611" s="578">
        <v>4.3866607593812903</v>
      </c>
      <c r="G611" s="579">
        <v>0.89255661956996302</v>
      </c>
    </row>
    <row r="612" spans="1:7" x14ac:dyDescent="0.3">
      <c r="A612" s="11" t="s">
        <v>6360</v>
      </c>
      <c r="B612" s="11"/>
      <c r="C612" s="580">
        <v>8</v>
      </c>
      <c r="D612" s="580">
        <v>4527.1941593832198</v>
      </c>
      <c r="E612" s="581">
        <v>2080.50759498242</v>
      </c>
      <c r="F612" s="582">
        <v>1.4212637809530599</v>
      </c>
      <c r="G612" s="583">
        <v>0.65315292135584702</v>
      </c>
    </row>
    <row r="613" spans="1:7" x14ac:dyDescent="0.3">
      <c r="A613" s="6" t="s">
        <v>6361</v>
      </c>
      <c r="B613" s="6"/>
      <c r="C613" s="576">
        <v>3</v>
      </c>
      <c r="D613" s="576">
        <v>3155.5630012297402</v>
      </c>
      <c r="E613" s="577">
        <v>2691.8629216925101</v>
      </c>
      <c r="F613" s="578">
        <v>0.99065497177050599</v>
      </c>
      <c r="G613" s="579">
        <v>0.84508133276379704</v>
      </c>
    </row>
    <row r="614" spans="1:7" x14ac:dyDescent="0.3">
      <c r="A614" s="11" t="s">
        <v>6354</v>
      </c>
      <c r="B614" s="11" t="s">
        <v>6355</v>
      </c>
      <c r="C614" s="580">
        <v>1049</v>
      </c>
      <c r="D614" s="580">
        <v>318533</v>
      </c>
      <c r="E614" s="581">
        <v>3.0896309336460302E-9</v>
      </c>
      <c r="F614" s="582">
        <v>100</v>
      </c>
      <c r="G614" s="583">
        <v>2.07364323680532E-13</v>
      </c>
    </row>
    <row r="615" spans="1:7" x14ac:dyDescent="0.3">
      <c r="A615" s="6" t="s">
        <v>6354</v>
      </c>
      <c r="B615" s="6" t="s">
        <v>6356</v>
      </c>
      <c r="C615" s="576">
        <v>1049</v>
      </c>
      <c r="D615" s="576">
        <v>318533</v>
      </c>
      <c r="E615" s="577">
        <v>0</v>
      </c>
      <c r="F615" s="578">
        <v>100</v>
      </c>
      <c r="G615" s="579">
        <v>0</v>
      </c>
    </row>
    <row r="616" spans="1:7" x14ac:dyDescent="0.3">
      <c r="A616" s="3449" t="s">
        <v>681</v>
      </c>
      <c r="B616" s="3450"/>
      <c r="C616" s="3450"/>
      <c r="D616" s="3450"/>
      <c r="E616" s="3450"/>
      <c r="F616" s="3450"/>
      <c r="G616" s="3450"/>
    </row>
    <row r="617" spans="1:7" x14ac:dyDescent="0.3">
      <c r="A617" s="11" t="s">
        <v>6400</v>
      </c>
      <c r="B617" s="11"/>
      <c r="C617" s="588">
        <v>111</v>
      </c>
      <c r="D617" s="588">
        <v>27053.998214253901</v>
      </c>
      <c r="E617" s="589">
        <v>1.25588479743034E-2</v>
      </c>
      <c r="F617" s="590">
        <v>8.4933109644067901</v>
      </c>
      <c r="G617" s="591">
        <v>3.9427148582146804E-6</v>
      </c>
    </row>
    <row r="618" spans="1:7" x14ac:dyDescent="0.3">
      <c r="A618" s="6" t="s">
        <v>6401</v>
      </c>
      <c r="B618" s="6"/>
      <c r="C618" s="584">
        <v>96</v>
      </c>
      <c r="D618" s="584">
        <v>27053.987880452401</v>
      </c>
      <c r="E618" s="585">
        <v>5.3914222555679403E-2</v>
      </c>
      <c r="F618" s="586">
        <v>8.4933077202212601</v>
      </c>
      <c r="G618" s="587">
        <v>1.69257886852166E-5</v>
      </c>
    </row>
    <row r="619" spans="1:7" x14ac:dyDescent="0.3">
      <c r="A619" s="11" t="s">
        <v>6402</v>
      </c>
      <c r="B619" s="11"/>
      <c r="C619" s="588">
        <v>53</v>
      </c>
      <c r="D619" s="588">
        <v>27053.9624142334</v>
      </c>
      <c r="E619" s="589">
        <v>0.16834177744314099</v>
      </c>
      <c r="F619" s="590">
        <v>8.4932997253764793</v>
      </c>
      <c r="G619" s="591">
        <v>5.2849085446946097E-5</v>
      </c>
    </row>
    <row r="620" spans="1:7" x14ac:dyDescent="0.3">
      <c r="A620" s="6" t="s">
        <v>6403</v>
      </c>
      <c r="B620" s="6"/>
      <c r="C620" s="584">
        <v>117</v>
      </c>
      <c r="D620" s="584">
        <v>27053.0496748511</v>
      </c>
      <c r="E620" s="585">
        <v>0.220144048859197</v>
      </c>
      <c r="F620" s="586">
        <v>8.4930131806912001</v>
      </c>
      <c r="G620" s="587">
        <v>6.9111849935586805E-5</v>
      </c>
    </row>
    <row r="621" spans="1:7" x14ac:dyDescent="0.3">
      <c r="A621" s="11" t="s">
        <v>6404</v>
      </c>
      <c r="B621" s="11"/>
      <c r="C621" s="588">
        <v>82</v>
      </c>
      <c r="D621" s="588">
        <v>27053.030835956401</v>
      </c>
      <c r="E621" s="589">
        <v>0.13770533642448399</v>
      </c>
      <c r="F621" s="590">
        <v>8.4930072664233993</v>
      </c>
      <c r="G621" s="591">
        <v>4.3231105254662997E-5</v>
      </c>
    </row>
    <row r="622" spans="1:7" x14ac:dyDescent="0.3">
      <c r="A622" s="6" t="s">
        <v>6405</v>
      </c>
      <c r="B622" s="6"/>
      <c r="C622" s="584">
        <v>115</v>
      </c>
      <c r="D622" s="584">
        <v>27052.963398502601</v>
      </c>
      <c r="E622" s="585">
        <v>0.162632439546226</v>
      </c>
      <c r="F622" s="586">
        <v>8.4929860951620597</v>
      </c>
      <c r="G622" s="587">
        <v>5.10567003882013E-5</v>
      </c>
    </row>
    <row r="623" spans="1:7" x14ac:dyDescent="0.3">
      <c r="A623" s="11" t="s">
        <v>6406</v>
      </c>
      <c r="B623" s="11"/>
      <c r="C623" s="588">
        <v>91</v>
      </c>
      <c r="D623" s="588">
        <v>27052.955402809799</v>
      </c>
      <c r="E623" s="589">
        <v>0.19875841937175601</v>
      </c>
      <c r="F623" s="590">
        <v>8.4929835850005606</v>
      </c>
      <c r="G623" s="591">
        <v>6.2398062142511495E-5</v>
      </c>
    </row>
    <row r="624" spans="1:7" x14ac:dyDescent="0.3">
      <c r="A624" s="6" t="s">
        <v>6407</v>
      </c>
      <c r="B624" s="6"/>
      <c r="C624" s="584">
        <v>120</v>
      </c>
      <c r="D624" s="584">
        <v>26181.0417832202</v>
      </c>
      <c r="E624" s="585">
        <v>0.183850119277542</v>
      </c>
      <c r="F624" s="586">
        <v>8.2192557076410395</v>
      </c>
      <c r="G624" s="587">
        <v>5.7717762174374303E-5</v>
      </c>
    </row>
    <row r="625" spans="1:7" x14ac:dyDescent="0.3">
      <c r="A625" s="11" t="s">
        <v>6408</v>
      </c>
      <c r="B625" s="11"/>
      <c r="C625" s="588">
        <v>73</v>
      </c>
      <c r="D625" s="588">
        <v>26181.0034118187</v>
      </c>
      <c r="E625" s="589">
        <v>2.3342185127350801E-2</v>
      </c>
      <c r="F625" s="590">
        <v>8.2192436613533602</v>
      </c>
      <c r="G625" s="591">
        <v>7.3280272921960503E-6</v>
      </c>
    </row>
    <row r="626" spans="1:7" x14ac:dyDescent="0.3">
      <c r="A626" s="6" t="s">
        <v>6409</v>
      </c>
      <c r="B626" s="6"/>
      <c r="C626" s="584">
        <v>44</v>
      </c>
      <c r="D626" s="584">
        <v>26180.986308800198</v>
      </c>
      <c r="E626" s="585">
        <v>5.9850544639901103E-2</v>
      </c>
      <c r="F626" s="586">
        <v>8.2192382920451603</v>
      </c>
      <c r="G626" s="587">
        <v>1.87894329865466E-5</v>
      </c>
    </row>
    <row r="627" spans="1:7" x14ac:dyDescent="0.3">
      <c r="A627" s="11" t="s">
        <v>6410</v>
      </c>
      <c r="B627" s="11"/>
      <c r="C627" s="588">
        <v>92</v>
      </c>
      <c r="D627" s="588">
        <v>24434.994007834801</v>
      </c>
      <c r="E627" s="589">
        <v>2.8962380738364199E-2</v>
      </c>
      <c r="F627" s="590">
        <v>7.6711028395283503</v>
      </c>
      <c r="G627" s="591">
        <v>9.0924270491252801E-6</v>
      </c>
    </row>
    <row r="628" spans="1:7" x14ac:dyDescent="0.3">
      <c r="A628" s="6" t="s">
        <v>6411</v>
      </c>
      <c r="B628" s="6"/>
      <c r="C628" s="584">
        <v>49</v>
      </c>
      <c r="D628" s="584">
        <v>23940.414450876098</v>
      </c>
      <c r="E628" s="585">
        <v>838.26803011180004</v>
      </c>
      <c r="F628" s="586">
        <v>7.5158349216175804</v>
      </c>
      <c r="G628" s="587">
        <v>0.26316520740764698</v>
      </c>
    </row>
    <row r="629" spans="1:7" x14ac:dyDescent="0.3">
      <c r="A629" s="11" t="s">
        <v>6412</v>
      </c>
      <c r="B629" s="11"/>
      <c r="C629" s="588">
        <v>6</v>
      </c>
      <c r="D629" s="588">
        <v>2240.6122163902401</v>
      </c>
      <c r="E629" s="589">
        <v>838.26734063406195</v>
      </c>
      <c r="F629" s="590">
        <v>0.70341604053276696</v>
      </c>
      <c r="G629" s="591">
        <v>0.26316499095354701</v>
      </c>
    </row>
    <row r="630" spans="1:7" x14ac:dyDescent="0.3">
      <c r="A630" s="6" t="s">
        <v>6354</v>
      </c>
      <c r="B630" s="6" t="s">
        <v>6355</v>
      </c>
      <c r="C630" s="584">
        <v>1049</v>
      </c>
      <c r="D630" s="584">
        <v>318533</v>
      </c>
      <c r="E630" s="585">
        <v>1.05876702032963E-9</v>
      </c>
      <c r="F630" s="586">
        <v>100</v>
      </c>
      <c r="G630" s="587">
        <v>3.70602642084119E-14</v>
      </c>
    </row>
    <row r="631" spans="1:7" x14ac:dyDescent="0.3">
      <c r="A631" s="11" t="s">
        <v>6354</v>
      </c>
      <c r="B631" s="11" t="s">
        <v>6356</v>
      </c>
      <c r="C631" s="588">
        <v>1049</v>
      </c>
      <c r="D631" s="588">
        <v>318533</v>
      </c>
      <c r="E631" s="589">
        <v>0</v>
      </c>
      <c r="F631" s="590">
        <v>100</v>
      </c>
      <c r="G631" s="591">
        <v>0</v>
      </c>
    </row>
    <row r="632" spans="1:7" x14ac:dyDescent="0.3">
      <c r="A632" s="3449" t="s">
        <v>252</v>
      </c>
      <c r="B632" s="3450"/>
      <c r="C632" s="3450"/>
      <c r="D632" s="3450"/>
      <c r="E632" s="3450"/>
      <c r="F632" s="3450"/>
      <c r="G632" s="3450"/>
    </row>
    <row r="633" spans="1:7" x14ac:dyDescent="0.3">
      <c r="A633" s="11" t="s">
        <v>1021</v>
      </c>
      <c r="B633" s="11" t="s">
        <v>3063</v>
      </c>
      <c r="C633" s="596">
        <v>1008</v>
      </c>
      <c r="D633" s="596">
        <v>305985.48864872102</v>
      </c>
      <c r="E633" s="597">
        <v>3427.1126422740499</v>
      </c>
      <c r="F633" s="598">
        <v>96.060844135057096</v>
      </c>
      <c r="G633" s="599">
        <v>1.07590505293778</v>
      </c>
    </row>
    <row r="634" spans="1:7" x14ac:dyDescent="0.3">
      <c r="A634" s="6" t="s">
        <v>1023</v>
      </c>
      <c r="B634" s="6" t="s">
        <v>3064</v>
      </c>
      <c r="C634" s="592">
        <v>38</v>
      </c>
      <c r="D634" s="592">
        <v>10641.738635704</v>
      </c>
      <c r="E634" s="593">
        <v>3048.59680151676</v>
      </c>
      <c r="F634" s="594">
        <v>3.3408590744770401</v>
      </c>
      <c r="G634" s="595">
        <v>0.95707408699153795</v>
      </c>
    </row>
    <row r="635" spans="1:7" x14ac:dyDescent="0.3">
      <c r="A635" s="11" t="s">
        <v>1027</v>
      </c>
      <c r="B635" s="11" t="s">
        <v>3066</v>
      </c>
      <c r="C635" s="596">
        <v>1</v>
      </c>
      <c r="D635" s="596">
        <v>1651.1527775632501</v>
      </c>
      <c r="E635" s="597">
        <v>1719.78597313869</v>
      </c>
      <c r="F635" s="598">
        <v>0.51836160698051803</v>
      </c>
      <c r="G635" s="599">
        <v>0.53990825852853197</v>
      </c>
    </row>
    <row r="636" spans="1:7" x14ac:dyDescent="0.3">
      <c r="A636" s="6" t="s">
        <v>1025</v>
      </c>
      <c r="B636" s="6" t="s">
        <v>3065</v>
      </c>
      <c r="C636" s="592">
        <v>2</v>
      </c>
      <c r="D636" s="592">
        <v>254.619938011344</v>
      </c>
      <c r="E636" s="593">
        <v>267.24542497183597</v>
      </c>
      <c r="F636" s="594">
        <v>7.9935183485335695E-2</v>
      </c>
      <c r="G636" s="595">
        <v>8.3898818951831003E-2</v>
      </c>
    </row>
    <row r="637" spans="1:7" x14ac:dyDescent="0.3">
      <c r="A637" s="11" t="s">
        <v>6354</v>
      </c>
      <c r="B637" s="11" t="s">
        <v>6355</v>
      </c>
      <c r="C637" s="596">
        <v>1049</v>
      </c>
      <c r="D637" s="596">
        <v>318533</v>
      </c>
      <c r="E637" s="597">
        <v>3.7964605398290601E-9</v>
      </c>
      <c r="F637" s="598">
        <v>100</v>
      </c>
      <c r="G637" s="599">
        <v>2.29838001744816E-14</v>
      </c>
    </row>
    <row r="638" spans="1:7" x14ac:dyDescent="0.3">
      <c r="A638" s="6" t="s">
        <v>6354</v>
      </c>
      <c r="B638" s="6" t="s">
        <v>6356</v>
      </c>
      <c r="C638" s="592">
        <v>1049</v>
      </c>
      <c r="D638" s="592">
        <v>318533</v>
      </c>
      <c r="E638" s="593">
        <v>0</v>
      </c>
      <c r="F638" s="594">
        <v>100</v>
      </c>
      <c r="G638" s="595">
        <v>0</v>
      </c>
    </row>
    <row r="639" spans="1:7" x14ac:dyDescent="0.3">
      <c r="A639" s="3449" t="s">
        <v>392</v>
      </c>
      <c r="B639" s="3450"/>
      <c r="C639" s="3450"/>
      <c r="D639" s="3450"/>
      <c r="E639" s="3450"/>
      <c r="F639" s="3450"/>
      <c r="G639" s="3450"/>
    </row>
    <row r="640" spans="1:7" x14ac:dyDescent="0.3">
      <c r="A640" s="11" t="s">
        <v>1023</v>
      </c>
      <c r="B640" s="11" t="s">
        <v>3184</v>
      </c>
      <c r="C640" s="604">
        <v>222</v>
      </c>
      <c r="D640" s="604">
        <v>76862.283810495297</v>
      </c>
      <c r="E640" s="605">
        <v>4566.4392367693099</v>
      </c>
      <c r="F640" s="606">
        <v>24.130085049428299</v>
      </c>
      <c r="G640" s="607">
        <v>1.4335843497437699</v>
      </c>
    </row>
    <row r="641" spans="1:7" x14ac:dyDescent="0.3">
      <c r="A641" s="6" t="s">
        <v>1021</v>
      </c>
      <c r="B641" s="6" t="s">
        <v>3183</v>
      </c>
      <c r="C641" s="600">
        <v>182</v>
      </c>
      <c r="D641" s="600">
        <v>56270.073193394397</v>
      </c>
      <c r="E641" s="601">
        <v>2157.0133571565798</v>
      </c>
      <c r="F641" s="602">
        <v>17.665382611344601</v>
      </c>
      <c r="G641" s="603">
        <v>0.67717108028259598</v>
      </c>
    </row>
    <row r="642" spans="1:7" x14ac:dyDescent="0.3">
      <c r="A642" s="11" t="s">
        <v>1063</v>
      </c>
      <c r="B642" s="11" t="s">
        <v>3192</v>
      </c>
      <c r="C642" s="604">
        <v>257</v>
      </c>
      <c r="D642" s="604">
        <v>47997.948226385401</v>
      </c>
      <c r="E642" s="605">
        <v>3128.4681657194501</v>
      </c>
      <c r="F642" s="606">
        <v>15.068438192082301</v>
      </c>
      <c r="G642" s="607">
        <v>0.982148840377425</v>
      </c>
    </row>
    <row r="643" spans="1:7" x14ac:dyDescent="0.3">
      <c r="A643" s="6" t="s">
        <v>1027</v>
      </c>
      <c r="B643" s="6" t="s">
        <v>3186</v>
      </c>
      <c r="C643" s="600">
        <v>77</v>
      </c>
      <c r="D643" s="600">
        <v>35850.4906110089</v>
      </c>
      <c r="E643" s="601">
        <v>3974.0625579327798</v>
      </c>
      <c r="F643" s="602">
        <v>11.254874882982</v>
      </c>
      <c r="G643" s="603">
        <v>1.24761408015269</v>
      </c>
    </row>
    <row r="644" spans="1:7" x14ac:dyDescent="0.3">
      <c r="A644" s="11" t="s">
        <v>1031</v>
      </c>
      <c r="B644" s="11" t="s">
        <v>3188</v>
      </c>
      <c r="C644" s="604">
        <v>78</v>
      </c>
      <c r="D644" s="604">
        <v>31740.802827638399</v>
      </c>
      <c r="E644" s="605">
        <v>3491.8364259126802</v>
      </c>
      <c r="F644" s="606">
        <v>9.9646827260090394</v>
      </c>
      <c r="G644" s="607">
        <v>1.0962243867708199</v>
      </c>
    </row>
    <row r="645" spans="1:7" x14ac:dyDescent="0.3">
      <c r="A645" s="6" t="s">
        <v>1061</v>
      </c>
      <c r="B645" s="6" t="s">
        <v>3191</v>
      </c>
      <c r="C645" s="600">
        <v>153</v>
      </c>
      <c r="D645" s="600">
        <v>31007.926806605599</v>
      </c>
      <c r="E645" s="601">
        <v>2157.0133571565002</v>
      </c>
      <c r="F645" s="602">
        <v>9.7346042032083204</v>
      </c>
      <c r="G645" s="603">
        <v>0.677171080282579</v>
      </c>
    </row>
    <row r="646" spans="1:7" x14ac:dyDescent="0.3">
      <c r="A646" s="11" t="s">
        <v>1042</v>
      </c>
      <c r="B646" s="11" t="s">
        <v>3190</v>
      </c>
      <c r="C646" s="604">
        <v>43</v>
      </c>
      <c r="D646" s="604">
        <v>16414.324257636199</v>
      </c>
      <c r="E646" s="605">
        <v>3875.7666681504102</v>
      </c>
      <c r="F646" s="606">
        <v>5.1531000736614896</v>
      </c>
      <c r="G646" s="607">
        <v>1.21675514566792</v>
      </c>
    </row>
    <row r="647" spans="1:7" x14ac:dyDescent="0.3">
      <c r="A647" s="6" t="s">
        <v>1029</v>
      </c>
      <c r="B647" s="6" t="s">
        <v>3187</v>
      </c>
      <c r="C647" s="600">
        <v>18</v>
      </c>
      <c r="D647" s="600">
        <v>11901.3054529499</v>
      </c>
      <c r="E647" s="601">
        <v>3045.5033754494102</v>
      </c>
      <c r="F647" s="602">
        <v>3.7362864924355899</v>
      </c>
      <c r="G647" s="603">
        <v>0.95610293924002099</v>
      </c>
    </row>
    <row r="648" spans="1:7" x14ac:dyDescent="0.3">
      <c r="A648" s="11" t="s">
        <v>1025</v>
      </c>
      <c r="B648" s="11" t="s">
        <v>3185</v>
      </c>
      <c r="C648" s="604">
        <v>11</v>
      </c>
      <c r="D648" s="604">
        <v>8189.2393319295097</v>
      </c>
      <c r="E648" s="605">
        <v>2796.87850880013</v>
      </c>
      <c r="F648" s="606">
        <v>2.5709233680433501</v>
      </c>
      <c r="G648" s="607">
        <v>0.87804984375249195</v>
      </c>
    </row>
    <row r="649" spans="1:7" x14ac:dyDescent="0.3">
      <c r="A649" s="6" t="s">
        <v>1040</v>
      </c>
      <c r="B649" s="6" t="s">
        <v>3189</v>
      </c>
      <c r="C649" s="600">
        <v>8</v>
      </c>
      <c r="D649" s="600">
        <v>2298.6054819564602</v>
      </c>
      <c r="E649" s="601">
        <v>1480.37704479997</v>
      </c>
      <c r="F649" s="602">
        <v>0.721622400805086</v>
      </c>
      <c r="G649" s="603">
        <v>0.46474840748053498</v>
      </c>
    </row>
    <row r="650" spans="1:7" x14ac:dyDescent="0.3">
      <c r="A650" s="11" t="s">
        <v>6354</v>
      </c>
      <c r="B650" s="11" t="s">
        <v>6355</v>
      </c>
      <c r="C650" s="604">
        <v>1049</v>
      </c>
      <c r="D650" s="604">
        <v>318533</v>
      </c>
      <c r="E650" s="605">
        <v>1.06013759309804E-9</v>
      </c>
      <c r="F650" s="606">
        <v>100</v>
      </c>
      <c r="G650" s="607">
        <v>9.7512005764874805E-14</v>
      </c>
    </row>
    <row r="651" spans="1:7" x14ac:dyDescent="0.3">
      <c r="A651" s="6" t="s">
        <v>6354</v>
      </c>
      <c r="B651" s="6" t="s">
        <v>6356</v>
      </c>
      <c r="C651" s="600">
        <v>1049</v>
      </c>
      <c r="D651" s="600">
        <v>318533</v>
      </c>
      <c r="E651" s="601">
        <v>0</v>
      </c>
      <c r="F651" s="602">
        <v>100</v>
      </c>
      <c r="G651" s="603">
        <v>0</v>
      </c>
    </row>
    <row r="652" spans="1:7" x14ac:dyDescent="0.3">
      <c r="A652" s="3449" t="s">
        <v>438</v>
      </c>
      <c r="B652" s="3450"/>
      <c r="C652" s="3450"/>
      <c r="D652" s="3450"/>
      <c r="E652" s="3450"/>
      <c r="F652" s="3450"/>
      <c r="G652" s="3450"/>
    </row>
    <row r="653" spans="1:7" x14ac:dyDescent="0.3">
      <c r="A653" s="11" t="s">
        <v>1025</v>
      </c>
      <c r="B653" s="11" t="s">
        <v>6039</v>
      </c>
      <c r="C653" s="612">
        <v>1047</v>
      </c>
      <c r="D653" s="612">
        <v>318254.402259733</v>
      </c>
      <c r="E653" s="613">
        <v>219.78817262733699</v>
      </c>
      <c r="F653" s="614">
        <v>99.912537244094906</v>
      </c>
      <c r="G653" s="615">
        <v>6.9000126400431502E-2</v>
      </c>
    </row>
    <row r="654" spans="1:7" x14ac:dyDescent="0.3">
      <c r="A654" s="6" t="s">
        <v>1027</v>
      </c>
      <c r="B654" s="6" t="s">
        <v>6040</v>
      </c>
      <c r="C654" s="608">
        <v>2</v>
      </c>
      <c r="D654" s="608">
        <v>278.597740267061</v>
      </c>
      <c r="E654" s="609">
        <v>219.78817262708799</v>
      </c>
      <c r="F654" s="610">
        <v>8.7462755905059003E-2</v>
      </c>
      <c r="G654" s="611">
        <v>6.9000126400431905E-2</v>
      </c>
    </row>
    <row r="655" spans="1:7" x14ac:dyDescent="0.3">
      <c r="A655" s="11" t="s">
        <v>6354</v>
      </c>
      <c r="B655" s="11" t="s">
        <v>6355</v>
      </c>
      <c r="C655" s="612">
        <v>1049</v>
      </c>
      <c r="D655" s="612">
        <v>318533</v>
      </c>
      <c r="E655" s="613">
        <v>2.4112308371355701E-9</v>
      </c>
      <c r="F655" s="614">
        <v>100</v>
      </c>
      <c r="G655" s="615">
        <v>2.0557335828564899E-14</v>
      </c>
    </row>
    <row r="656" spans="1:7" x14ac:dyDescent="0.3">
      <c r="A656" s="6" t="s">
        <v>6354</v>
      </c>
      <c r="B656" s="6" t="s">
        <v>6356</v>
      </c>
      <c r="C656" s="608">
        <v>1049</v>
      </c>
      <c r="D656" s="608">
        <v>318533</v>
      </c>
      <c r="E656" s="609">
        <v>0</v>
      </c>
      <c r="F656" s="610">
        <v>100</v>
      </c>
      <c r="G656" s="611">
        <v>0</v>
      </c>
    </row>
    <row r="657" spans="1:7" x14ac:dyDescent="0.3">
      <c r="A657" s="3449" t="s">
        <v>440</v>
      </c>
      <c r="B657" s="3450"/>
      <c r="C657" s="3450"/>
      <c r="D657" s="3450"/>
      <c r="E657" s="3450"/>
      <c r="F657" s="3450"/>
      <c r="G657" s="3450"/>
    </row>
    <row r="658" spans="1:7" x14ac:dyDescent="0.3">
      <c r="A658" s="11" t="s">
        <v>1025</v>
      </c>
      <c r="B658" s="11" t="s">
        <v>6043</v>
      </c>
      <c r="C658" s="620">
        <v>1047</v>
      </c>
      <c r="D658" s="620">
        <v>318254.402259733</v>
      </c>
      <c r="E658" s="621">
        <v>219.78817262733699</v>
      </c>
      <c r="F658" s="622">
        <v>99.912537244094906</v>
      </c>
      <c r="G658" s="623">
        <v>6.9000126400431502E-2</v>
      </c>
    </row>
    <row r="659" spans="1:7" x14ac:dyDescent="0.3">
      <c r="A659" s="6" t="s">
        <v>1031</v>
      </c>
      <c r="B659" s="6" t="s">
        <v>6046</v>
      </c>
      <c r="C659" s="616">
        <v>2</v>
      </c>
      <c r="D659" s="616">
        <v>278.597740267061</v>
      </c>
      <c r="E659" s="617">
        <v>219.78817262708799</v>
      </c>
      <c r="F659" s="618">
        <v>8.7462755905059003E-2</v>
      </c>
      <c r="G659" s="619">
        <v>6.9000126400431905E-2</v>
      </c>
    </row>
    <row r="660" spans="1:7" x14ac:dyDescent="0.3">
      <c r="A660" s="11" t="s">
        <v>6354</v>
      </c>
      <c r="B660" s="11" t="s">
        <v>6355</v>
      </c>
      <c r="C660" s="620">
        <v>1049</v>
      </c>
      <c r="D660" s="620">
        <v>318533</v>
      </c>
      <c r="E660" s="621">
        <v>2.4112308371355701E-9</v>
      </c>
      <c r="F660" s="622">
        <v>100</v>
      </c>
      <c r="G660" s="623">
        <v>2.0557335828564899E-14</v>
      </c>
    </row>
    <row r="661" spans="1:7" x14ac:dyDescent="0.3">
      <c r="A661" s="6" t="s">
        <v>6354</v>
      </c>
      <c r="B661" s="6" t="s">
        <v>6356</v>
      </c>
      <c r="C661" s="616">
        <v>1049</v>
      </c>
      <c r="D661" s="616">
        <v>318533</v>
      </c>
      <c r="E661" s="617">
        <v>0</v>
      </c>
      <c r="F661" s="618">
        <v>100</v>
      </c>
      <c r="G661" s="619">
        <v>0</v>
      </c>
    </row>
    <row r="662" spans="1:7" x14ac:dyDescent="0.3">
      <c r="A662" s="3449" t="s">
        <v>594</v>
      </c>
      <c r="B662" s="3450"/>
      <c r="C662" s="3450"/>
      <c r="D662" s="3450"/>
      <c r="E662" s="3450"/>
      <c r="F662" s="3450"/>
      <c r="G662" s="3450"/>
    </row>
    <row r="663" spans="1:7" x14ac:dyDescent="0.3">
      <c r="A663" s="11" t="s">
        <v>1023</v>
      </c>
      <c r="B663" s="11" t="s">
        <v>6073</v>
      </c>
      <c r="C663" s="628">
        <v>1049</v>
      </c>
      <c r="D663" s="628">
        <v>318533</v>
      </c>
      <c r="E663" s="629">
        <v>2.4423447799150501E-9</v>
      </c>
      <c r="F663" s="630">
        <v>100</v>
      </c>
      <c r="G663" s="631">
        <v>0</v>
      </c>
    </row>
    <row r="664" spans="1:7" x14ac:dyDescent="0.3">
      <c r="A664" s="6" t="s">
        <v>6354</v>
      </c>
      <c r="B664" s="6" t="s">
        <v>6355</v>
      </c>
      <c r="C664" s="624">
        <v>1049</v>
      </c>
      <c r="D664" s="624">
        <v>318533</v>
      </c>
      <c r="E664" s="625">
        <v>2.4423447799150501E-9</v>
      </c>
      <c r="F664" s="626">
        <v>100</v>
      </c>
      <c r="G664" s="627">
        <v>0</v>
      </c>
    </row>
    <row r="665" spans="1:7" x14ac:dyDescent="0.3">
      <c r="A665" s="11" t="s">
        <v>6354</v>
      </c>
      <c r="B665" s="11" t="s">
        <v>6356</v>
      </c>
      <c r="C665" s="628">
        <v>1049</v>
      </c>
      <c r="D665" s="628">
        <v>318533</v>
      </c>
      <c r="E665" s="629">
        <v>0</v>
      </c>
      <c r="F665" s="630">
        <v>100</v>
      </c>
      <c r="G665" s="631">
        <v>0</v>
      </c>
    </row>
    <row r="666" spans="1:7" x14ac:dyDescent="0.3">
      <c r="A666" s="3449" t="s">
        <v>836</v>
      </c>
      <c r="B666" s="3450"/>
      <c r="C666" s="3450"/>
      <c r="D666" s="3450"/>
      <c r="E666" s="3450"/>
      <c r="F666" s="3450"/>
      <c r="G666" s="3450"/>
    </row>
    <row r="667" spans="1:7" x14ac:dyDescent="0.3">
      <c r="A667" s="11" t="s">
        <v>1021</v>
      </c>
      <c r="B667" s="11" t="s">
        <v>6172</v>
      </c>
      <c r="C667" s="636">
        <v>757</v>
      </c>
      <c r="D667" s="636">
        <v>274962.26258854597</v>
      </c>
      <c r="E667" s="637">
        <v>5719.1342880802304</v>
      </c>
      <c r="F667" s="638">
        <v>86.321436896191798</v>
      </c>
      <c r="G667" s="639">
        <v>1.7954605293895201</v>
      </c>
    </row>
    <row r="668" spans="1:7" x14ac:dyDescent="0.3">
      <c r="A668" s="6" t="s">
        <v>1027</v>
      </c>
      <c r="B668" s="6" t="s">
        <v>6175</v>
      </c>
      <c r="C668" s="632">
        <v>191</v>
      </c>
      <c r="D668" s="632">
        <v>29279.661640396302</v>
      </c>
      <c r="E668" s="633">
        <v>5159.0527796093902</v>
      </c>
      <c r="F668" s="634">
        <v>9.1920339934626405</v>
      </c>
      <c r="G668" s="635">
        <v>1.6196289802341901</v>
      </c>
    </row>
    <row r="669" spans="1:7" x14ac:dyDescent="0.3">
      <c r="A669" s="11" t="s">
        <v>1023</v>
      </c>
      <c r="B669" s="11" t="s">
        <v>6173</v>
      </c>
      <c r="C669" s="636">
        <v>101</v>
      </c>
      <c r="D669" s="636">
        <v>14291.0757710571</v>
      </c>
      <c r="E669" s="637">
        <v>1456.0054946365001</v>
      </c>
      <c r="F669" s="638">
        <v>4.4865291103455798</v>
      </c>
      <c r="G669" s="639">
        <v>0.45709722215170601</v>
      </c>
    </row>
    <row r="670" spans="1:7" x14ac:dyDescent="0.3">
      <c r="A670" s="6" t="s">
        <v>6354</v>
      </c>
      <c r="B670" s="6" t="s">
        <v>6355</v>
      </c>
      <c r="C670" s="632">
        <v>1049</v>
      </c>
      <c r="D670" s="632">
        <v>318533</v>
      </c>
      <c r="E670" s="633">
        <v>1.61219759986275E-9</v>
      </c>
      <c r="F670" s="634">
        <v>100</v>
      </c>
      <c r="G670" s="635">
        <v>9.5873031797334296E-14</v>
      </c>
    </row>
    <row r="671" spans="1:7" x14ac:dyDescent="0.3">
      <c r="A671" s="11" t="s">
        <v>6354</v>
      </c>
      <c r="B671" s="11" t="s">
        <v>6356</v>
      </c>
      <c r="C671" s="636">
        <v>1049</v>
      </c>
      <c r="D671" s="636">
        <v>318533</v>
      </c>
      <c r="E671" s="637">
        <v>0</v>
      </c>
      <c r="F671" s="638">
        <v>100</v>
      </c>
      <c r="G671" s="639">
        <v>0</v>
      </c>
    </row>
    <row r="672" spans="1:7" x14ac:dyDescent="0.3">
      <c r="A672" s="3449" t="s">
        <v>838</v>
      </c>
      <c r="B672" s="3450"/>
      <c r="C672" s="3450"/>
      <c r="D672" s="3450"/>
      <c r="E672" s="3450"/>
      <c r="F672" s="3450"/>
      <c r="G672" s="3450"/>
    </row>
    <row r="673" spans="1:7" x14ac:dyDescent="0.3">
      <c r="A673" s="11" t="s">
        <v>1025</v>
      </c>
      <c r="B673" s="11" t="s">
        <v>6178</v>
      </c>
      <c r="C673" s="644">
        <v>757</v>
      </c>
      <c r="D673" s="644">
        <v>274962.26258854597</v>
      </c>
      <c r="E673" s="645">
        <v>5719.1342880802304</v>
      </c>
      <c r="F673" s="646">
        <v>86.321436896191798</v>
      </c>
      <c r="G673" s="647">
        <v>1.7954605293895201</v>
      </c>
    </row>
    <row r="674" spans="1:7" x14ac:dyDescent="0.3">
      <c r="A674" s="6" t="s">
        <v>1031</v>
      </c>
      <c r="B674" s="6" t="s">
        <v>6181</v>
      </c>
      <c r="C674" s="640">
        <v>292</v>
      </c>
      <c r="D674" s="640">
        <v>43570.737411453403</v>
      </c>
      <c r="E674" s="641">
        <v>5719.1342880803204</v>
      </c>
      <c r="F674" s="642">
        <v>13.6785631038082</v>
      </c>
      <c r="G674" s="643">
        <v>1.7954605293895101</v>
      </c>
    </row>
    <row r="675" spans="1:7" x14ac:dyDescent="0.3">
      <c r="A675" s="11" t="s">
        <v>6354</v>
      </c>
      <c r="B675" s="11" t="s">
        <v>6355</v>
      </c>
      <c r="C675" s="644">
        <v>1049</v>
      </c>
      <c r="D675" s="644">
        <v>318533</v>
      </c>
      <c r="E675" s="645">
        <v>1.6022596101821399E-9</v>
      </c>
      <c r="F675" s="646">
        <v>100</v>
      </c>
      <c r="G675" s="647">
        <v>9.6968759166016401E-14</v>
      </c>
    </row>
    <row r="676" spans="1:7" x14ac:dyDescent="0.3">
      <c r="A676" s="6" t="s">
        <v>6354</v>
      </c>
      <c r="B676" s="6" t="s">
        <v>6356</v>
      </c>
      <c r="C676" s="640">
        <v>1049</v>
      </c>
      <c r="D676" s="640">
        <v>318533</v>
      </c>
      <c r="E676" s="641">
        <v>0</v>
      </c>
      <c r="F676" s="642">
        <v>100</v>
      </c>
      <c r="G676" s="643">
        <v>0</v>
      </c>
    </row>
    <row r="677" spans="1:7" x14ac:dyDescent="0.3">
      <c r="A677" s="3449" t="s">
        <v>840</v>
      </c>
      <c r="B677" s="3450"/>
      <c r="C677" s="3450"/>
      <c r="D677" s="3450"/>
      <c r="E677" s="3450"/>
      <c r="F677" s="3450"/>
      <c r="G677" s="3450"/>
    </row>
    <row r="678" spans="1:7" x14ac:dyDescent="0.3">
      <c r="A678" s="11" t="s">
        <v>1021</v>
      </c>
      <c r="B678" s="11" t="s">
        <v>6182</v>
      </c>
      <c r="C678" s="652">
        <v>858</v>
      </c>
      <c r="D678" s="652">
        <v>289253.33835960401</v>
      </c>
      <c r="E678" s="653">
        <v>5159.0527796096203</v>
      </c>
      <c r="F678" s="654">
        <v>90.807966006537399</v>
      </c>
      <c r="G678" s="655">
        <v>1.6196289802342001</v>
      </c>
    </row>
    <row r="679" spans="1:7" x14ac:dyDescent="0.3">
      <c r="A679" s="6" t="s">
        <v>1023</v>
      </c>
      <c r="B679" s="6" t="s">
        <v>6183</v>
      </c>
      <c r="C679" s="648">
        <v>191</v>
      </c>
      <c r="D679" s="648">
        <v>29279.661640396302</v>
      </c>
      <c r="E679" s="649">
        <v>5159.0527796093902</v>
      </c>
      <c r="F679" s="650">
        <v>9.1920339934626298</v>
      </c>
      <c r="G679" s="651">
        <v>1.6196289802342001</v>
      </c>
    </row>
    <row r="680" spans="1:7" x14ac:dyDescent="0.3">
      <c r="A680" s="11" t="s">
        <v>6354</v>
      </c>
      <c r="B680" s="11" t="s">
        <v>6355</v>
      </c>
      <c r="C680" s="652">
        <v>1049</v>
      </c>
      <c r="D680" s="652">
        <v>318533</v>
      </c>
      <c r="E680" s="653">
        <v>9.7598619433926195E-10</v>
      </c>
      <c r="F680" s="654">
        <v>100</v>
      </c>
      <c r="G680" s="655">
        <v>1.02786679142825E-14</v>
      </c>
    </row>
    <row r="681" spans="1:7" x14ac:dyDescent="0.3">
      <c r="A681" s="6" t="s">
        <v>6354</v>
      </c>
      <c r="B681" s="6" t="s">
        <v>6356</v>
      </c>
      <c r="C681" s="648">
        <v>1049</v>
      </c>
      <c r="D681" s="648">
        <v>318533</v>
      </c>
      <c r="E681" s="649">
        <v>0</v>
      </c>
      <c r="F681" s="650">
        <v>100</v>
      </c>
      <c r="G681" s="651">
        <v>0</v>
      </c>
    </row>
    <row r="682" spans="1:7" x14ac:dyDescent="0.3">
      <c r="A682" s="3449" t="s">
        <v>209</v>
      </c>
      <c r="B682" s="3450"/>
      <c r="C682" s="3450"/>
      <c r="D682" s="3450"/>
      <c r="E682" s="3450"/>
      <c r="F682" s="3450"/>
      <c r="G682" s="3450"/>
    </row>
    <row r="683" spans="1:7" x14ac:dyDescent="0.3">
      <c r="A683" s="11" t="s">
        <v>6413</v>
      </c>
      <c r="B683" s="11"/>
      <c r="C683" s="660">
        <v>79</v>
      </c>
      <c r="D683" s="660">
        <v>28044.3425063213</v>
      </c>
      <c r="E683" s="661">
        <v>4748.3056845710998</v>
      </c>
      <c r="F683" s="662">
        <v>8.8042188741264802</v>
      </c>
      <c r="G683" s="663">
        <v>1.4906793596177099</v>
      </c>
    </row>
    <row r="684" spans="1:7" x14ac:dyDescent="0.3">
      <c r="A684" s="6" t="s">
        <v>6414</v>
      </c>
      <c r="B684" s="6"/>
      <c r="C684" s="656">
        <v>52</v>
      </c>
      <c r="D684" s="656">
        <v>20011.439715090801</v>
      </c>
      <c r="E684" s="657">
        <v>3551.51888856917</v>
      </c>
      <c r="F684" s="658">
        <v>6.2823756769599601</v>
      </c>
      <c r="G684" s="659">
        <v>1.1149610522517801</v>
      </c>
    </row>
    <row r="685" spans="1:7" x14ac:dyDescent="0.3">
      <c r="A685" s="11" t="s">
        <v>6415</v>
      </c>
      <c r="B685" s="11"/>
      <c r="C685" s="660">
        <v>51</v>
      </c>
      <c r="D685" s="660">
        <v>13699.5729436685</v>
      </c>
      <c r="E685" s="661">
        <v>2324.8346309836402</v>
      </c>
      <c r="F685" s="662">
        <v>4.3008331769921799</v>
      </c>
      <c r="G685" s="663">
        <v>0.72985675926313598</v>
      </c>
    </row>
    <row r="686" spans="1:7" x14ac:dyDescent="0.3">
      <c r="A686" s="6" t="s">
        <v>6416</v>
      </c>
      <c r="B686" s="6"/>
      <c r="C686" s="656">
        <v>46</v>
      </c>
      <c r="D686" s="656">
        <v>11492.8656658158</v>
      </c>
      <c r="E686" s="657">
        <v>2021.5661018485</v>
      </c>
      <c r="F686" s="658">
        <v>3.6080612262515199</v>
      </c>
      <c r="G686" s="659">
        <v>0.63464887526520097</v>
      </c>
    </row>
    <row r="687" spans="1:7" x14ac:dyDescent="0.3">
      <c r="A687" s="11" t="s">
        <v>6417</v>
      </c>
      <c r="B687" s="11"/>
      <c r="C687" s="660">
        <v>42</v>
      </c>
      <c r="D687" s="660">
        <v>10516.6314277691</v>
      </c>
      <c r="E687" s="661">
        <v>3360.52045466152</v>
      </c>
      <c r="F687" s="662">
        <v>3.30158301581596</v>
      </c>
      <c r="G687" s="663">
        <v>1.0549991538275501</v>
      </c>
    </row>
    <row r="688" spans="1:7" x14ac:dyDescent="0.3">
      <c r="A688" s="6" t="s">
        <v>6418</v>
      </c>
      <c r="B688" s="6"/>
      <c r="C688" s="656">
        <v>13</v>
      </c>
      <c r="D688" s="656">
        <v>10375.576511019</v>
      </c>
      <c r="E688" s="657">
        <v>1928.5025210281599</v>
      </c>
      <c r="F688" s="658">
        <v>3.25730034596699</v>
      </c>
      <c r="G688" s="659">
        <v>0.60543256774907395</v>
      </c>
    </row>
    <row r="689" spans="1:7" x14ac:dyDescent="0.3">
      <c r="A689" s="11" t="s">
        <v>6419</v>
      </c>
      <c r="B689" s="11"/>
      <c r="C689" s="660">
        <v>20</v>
      </c>
      <c r="D689" s="660">
        <v>9207.2484998611399</v>
      </c>
      <c r="E689" s="661">
        <v>2168.5595407732999</v>
      </c>
      <c r="F689" s="662">
        <v>2.8905163671773901</v>
      </c>
      <c r="G689" s="663">
        <v>0.68079588010450898</v>
      </c>
    </row>
    <row r="690" spans="1:7" x14ac:dyDescent="0.3">
      <c r="A690" s="6" t="s">
        <v>6420</v>
      </c>
      <c r="B690" s="6"/>
      <c r="C690" s="656">
        <v>27</v>
      </c>
      <c r="D690" s="656">
        <v>8446.1186159854296</v>
      </c>
      <c r="E690" s="657">
        <v>2060.28313433731</v>
      </c>
      <c r="F690" s="658">
        <v>2.6515678488525301</v>
      </c>
      <c r="G690" s="659">
        <v>0.64680367005532002</v>
      </c>
    </row>
    <row r="691" spans="1:7" x14ac:dyDescent="0.3">
      <c r="A691" s="11" t="s">
        <v>6421</v>
      </c>
      <c r="B691" s="11"/>
      <c r="C691" s="660">
        <v>28</v>
      </c>
      <c r="D691" s="660">
        <v>7980.6339627970101</v>
      </c>
      <c r="E691" s="661">
        <v>2551.4320864470101</v>
      </c>
      <c r="F691" s="662">
        <v>2.5054339621945001</v>
      </c>
      <c r="G691" s="663">
        <v>0.80099458657251099</v>
      </c>
    </row>
    <row r="692" spans="1:7" x14ac:dyDescent="0.3">
      <c r="A692" s="6" t="s">
        <v>6422</v>
      </c>
      <c r="B692" s="6"/>
      <c r="C692" s="656">
        <v>29</v>
      </c>
      <c r="D692" s="656">
        <v>7641.2505035241502</v>
      </c>
      <c r="E692" s="657">
        <v>1339.3875659197599</v>
      </c>
      <c r="F692" s="658">
        <v>2.3988881853761299</v>
      </c>
      <c r="G692" s="659">
        <v>0.42048628114504899</v>
      </c>
    </row>
    <row r="693" spans="1:7" x14ac:dyDescent="0.3">
      <c r="A693" s="11" t="s">
        <v>6423</v>
      </c>
      <c r="B693" s="11"/>
      <c r="C693" s="660">
        <v>25</v>
      </c>
      <c r="D693" s="660">
        <v>7387.70970952268</v>
      </c>
      <c r="E693" s="661">
        <v>1626.94743521134</v>
      </c>
      <c r="F693" s="662">
        <v>2.31929178751423</v>
      </c>
      <c r="G693" s="663">
        <v>0.51076260080159397</v>
      </c>
    </row>
    <row r="694" spans="1:7" x14ac:dyDescent="0.3">
      <c r="A694" s="6" t="s">
        <v>6424</v>
      </c>
      <c r="B694" s="6"/>
      <c r="C694" s="656">
        <v>11</v>
      </c>
      <c r="D694" s="656">
        <v>7378.6194166446603</v>
      </c>
      <c r="E694" s="657">
        <v>3587.2542856160899</v>
      </c>
      <c r="F694" s="658">
        <v>2.31643798810317</v>
      </c>
      <c r="G694" s="659">
        <v>1.1261797947515899</v>
      </c>
    </row>
    <row r="695" spans="1:7" x14ac:dyDescent="0.3">
      <c r="A695" s="11" t="s">
        <v>6425</v>
      </c>
      <c r="B695" s="11"/>
      <c r="C695" s="660">
        <v>26</v>
      </c>
      <c r="D695" s="660">
        <v>7302.3111594002103</v>
      </c>
      <c r="E695" s="661">
        <v>1337.4089670032599</v>
      </c>
      <c r="F695" s="662">
        <v>2.29248183371902</v>
      </c>
      <c r="G695" s="663">
        <v>0.41986512135422699</v>
      </c>
    </row>
    <row r="696" spans="1:7" x14ac:dyDescent="0.3">
      <c r="A696" s="6" t="s">
        <v>6426</v>
      </c>
      <c r="B696" s="6"/>
      <c r="C696" s="656">
        <v>34</v>
      </c>
      <c r="D696" s="656">
        <v>7228.4842153047102</v>
      </c>
      <c r="E696" s="657">
        <v>2464.37528747651</v>
      </c>
      <c r="F696" s="658">
        <v>2.2693046608372498</v>
      </c>
      <c r="G696" s="659">
        <v>0.77366404343553397</v>
      </c>
    </row>
    <row r="697" spans="1:7" x14ac:dyDescent="0.3">
      <c r="A697" s="11" t="s">
        <v>6427</v>
      </c>
      <c r="B697" s="11"/>
      <c r="C697" s="660">
        <v>30</v>
      </c>
      <c r="D697" s="660">
        <v>6989.7643463595005</v>
      </c>
      <c r="E697" s="661">
        <v>1058.21302421675</v>
      </c>
      <c r="F697" s="662">
        <v>2.1943611325544001</v>
      </c>
      <c r="G697" s="663">
        <v>0.33221456621974799</v>
      </c>
    </row>
    <row r="698" spans="1:7" x14ac:dyDescent="0.3">
      <c r="A698" s="6" t="s">
        <v>6428</v>
      </c>
      <c r="B698" s="6"/>
      <c r="C698" s="656">
        <v>12</v>
      </c>
      <c r="D698" s="656">
        <v>6914.9044518354003</v>
      </c>
      <c r="E698" s="657">
        <v>3004.67964016837</v>
      </c>
      <c r="F698" s="658">
        <v>2.1708596760258501</v>
      </c>
      <c r="G698" s="659">
        <v>0.94328676782888199</v>
      </c>
    </row>
    <row r="699" spans="1:7" x14ac:dyDescent="0.3">
      <c r="A699" s="11" t="s">
        <v>6429</v>
      </c>
      <c r="B699" s="11"/>
      <c r="C699" s="660">
        <v>25</v>
      </c>
      <c r="D699" s="660">
        <v>6849.8407756164297</v>
      </c>
      <c r="E699" s="661">
        <v>2584.3844397715102</v>
      </c>
      <c r="F699" s="662">
        <v>2.15043363658285</v>
      </c>
      <c r="G699" s="663">
        <v>0.81133962251054303</v>
      </c>
    </row>
    <row r="700" spans="1:7" x14ac:dyDescent="0.3">
      <c r="A700" s="6" t="s">
        <v>6430</v>
      </c>
      <c r="B700" s="6"/>
      <c r="C700" s="656">
        <v>23</v>
      </c>
      <c r="D700" s="656">
        <v>6760.0838127658099</v>
      </c>
      <c r="E700" s="657">
        <v>2498.10159050434</v>
      </c>
      <c r="F700" s="658">
        <v>2.12225540611673</v>
      </c>
      <c r="G700" s="659">
        <v>0.78425205253595098</v>
      </c>
    </row>
    <row r="701" spans="1:7" x14ac:dyDescent="0.3">
      <c r="A701" s="11" t="s">
        <v>6431</v>
      </c>
      <c r="B701" s="11"/>
      <c r="C701" s="660">
        <v>23</v>
      </c>
      <c r="D701" s="660">
        <v>6718.3346738423998</v>
      </c>
      <c r="E701" s="661">
        <v>1882.8774680618601</v>
      </c>
      <c r="F701" s="662">
        <v>2.1091487142124699</v>
      </c>
      <c r="G701" s="663">
        <v>0.59110907443243099</v>
      </c>
    </row>
    <row r="702" spans="1:7" x14ac:dyDescent="0.3">
      <c r="A702" s="6" t="s">
        <v>6432</v>
      </c>
      <c r="B702" s="6"/>
      <c r="C702" s="656">
        <v>16</v>
      </c>
      <c r="D702" s="656">
        <v>6583.0529208229</v>
      </c>
      <c r="E702" s="657">
        <v>2484.4714716824201</v>
      </c>
      <c r="F702" s="658">
        <v>2.0666784668536402</v>
      </c>
      <c r="G702" s="659">
        <v>0.77997302373142596</v>
      </c>
    </row>
    <row r="703" spans="1:7" x14ac:dyDescent="0.3">
      <c r="A703" s="11" t="s">
        <v>6433</v>
      </c>
      <c r="B703" s="11"/>
      <c r="C703" s="660">
        <v>14</v>
      </c>
      <c r="D703" s="660">
        <v>6534.97846367897</v>
      </c>
      <c r="E703" s="661">
        <v>1668.3578842034999</v>
      </c>
      <c r="F703" s="662">
        <v>2.0515860095120302</v>
      </c>
      <c r="G703" s="663">
        <v>0.52376296465468097</v>
      </c>
    </row>
    <row r="704" spans="1:7" x14ac:dyDescent="0.3">
      <c r="A704" s="6" t="s">
        <v>6434</v>
      </c>
      <c r="B704" s="6"/>
      <c r="C704" s="656">
        <v>12</v>
      </c>
      <c r="D704" s="656">
        <v>6531.0780633268696</v>
      </c>
      <c r="E704" s="657">
        <v>2824.7106491238601</v>
      </c>
      <c r="F704" s="658">
        <v>2.0503615208869599</v>
      </c>
      <c r="G704" s="659">
        <v>0.886787444039979</v>
      </c>
    </row>
    <row r="705" spans="1:7" x14ac:dyDescent="0.3">
      <c r="A705" s="11" t="s">
        <v>6435</v>
      </c>
      <c r="B705" s="11"/>
      <c r="C705" s="660">
        <v>32</v>
      </c>
      <c r="D705" s="660">
        <v>6418.2742876736802</v>
      </c>
      <c r="E705" s="661">
        <v>2028.2002691893699</v>
      </c>
      <c r="F705" s="662">
        <v>2.0149479920993101</v>
      </c>
      <c r="G705" s="663">
        <v>0.63673160055296496</v>
      </c>
    </row>
    <row r="706" spans="1:7" x14ac:dyDescent="0.3">
      <c r="A706" s="6" t="s">
        <v>6436</v>
      </c>
      <c r="B706" s="6"/>
      <c r="C706" s="656">
        <v>9</v>
      </c>
      <c r="D706" s="656">
        <v>6359.2438343042004</v>
      </c>
      <c r="E706" s="657">
        <v>912.79171716759004</v>
      </c>
      <c r="F706" s="658">
        <v>1.99641601790213</v>
      </c>
      <c r="G706" s="659">
        <v>0.286561115227493</v>
      </c>
    </row>
    <row r="707" spans="1:7" x14ac:dyDescent="0.3">
      <c r="A707" s="11" t="s">
        <v>6437</v>
      </c>
      <c r="B707" s="11"/>
      <c r="C707" s="660">
        <v>28</v>
      </c>
      <c r="D707" s="660">
        <v>6211.6971209947396</v>
      </c>
      <c r="E707" s="661">
        <v>1114.85195061425</v>
      </c>
      <c r="F707" s="662">
        <v>1.95009531853677</v>
      </c>
      <c r="G707" s="663">
        <v>0.34999574631647301</v>
      </c>
    </row>
    <row r="708" spans="1:7" x14ac:dyDescent="0.3">
      <c r="A708" s="6" t="s">
        <v>6438</v>
      </c>
      <c r="B708" s="6"/>
      <c r="C708" s="656">
        <v>11</v>
      </c>
      <c r="D708" s="656">
        <v>6208.8834349520803</v>
      </c>
      <c r="E708" s="657">
        <v>3007.4046534931199</v>
      </c>
      <c r="F708" s="658">
        <v>1.9492119921490301</v>
      </c>
      <c r="G708" s="659">
        <v>0.94414225637316096</v>
      </c>
    </row>
    <row r="709" spans="1:7" x14ac:dyDescent="0.3">
      <c r="A709" s="11" t="s">
        <v>6439</v>
      </c>
      <c r="B709" s="11"/>
      <c r="C709" s="660">
        <v>24</v>
      </c>
      <c r="D709" s="660">
        <v>5820.2533039681603</v>
      </c>
      <c r="E709" s="661">
        <v>2226.26199983381</v>
      </c>
      <c r="F709" s="662">
        <v>1.82720575386794</v>
      </c>
      <c r="G709" s="663">
        <v>0.69891094481068305</v>
      </c>
    </row>
    <row r="710" spans="1:7" x14ac:dyDescent="0.3">
      <c r="A710" s="6" t="s">
        <v>6440</v>
      </c>
      <c r="B710" s="6"/>
      <c r="C710" s="656">
        <v>26</v>
      </c>
      <c r="D710" s="656">
        <v>5774.6506983465997</v>
      </c>
      <c r="E710" s="657">
        <v>1884.9258352596801</v>
      </c>
      <c r="F710" s="658">
        <v>1.8128893076530901</v>
      </c>
      <c r="G710" s="659">
        <v>0.59175213722272901</v>
      </c>
    </row>
    <row r="711" spans="1:7" x14ac:dyDescent="0.3">
      <c r="A711" s="11" t="s">
        <v>6441</v>
      </c>
      <c r="B711" s="11"/>
      <c r="C711" s="660">
        <v>17</v>
      </c>
      <c r="D711" s="660">
        <v>5249.1167535258301</v>
      </c>
      <c r="E711" s="661">
        <v>2198.7633373015801</v>
      </c>
      <c r="F711" s="662">
        <v>1.6479035935133399</v>
      </c>
      <c r="G711" s="663">
        <v>0.69027803627931295</v>
      </c>
    </row>
    <row r="712" spans="1:7" x14ac:dyDescent="0.3">
      <c r="A712" s="6" t="s">
        <v>6442</v>
      </c>
      <c r="B712" s="6"/>
      <c r="C712" s="656">
        <v>9</v>
      </c>
      <c r="D712" s="656">
        <v>5104.6747146223297</v>
      </c>
      <c r="E712" s="657">
        <v>2915.3034504928801</v>
      </c>
      <c r="F712" s="658">
        <v>1.60255757319409</v>
      </c>
      <c r="G712" s="659">
        <v>0.91522807699449804</v>
      </c>
    </row>
    <row r="713" spans="1:7" x14ac:dyDescent="0.3">
      <c r="A713" s="11" t="s">
        <v>6443</v>
      </c>
      <c r="B713" s="11"/>
      <c r="C713" s="660">
        <v>21</v>
      </c>
      <c r="D713" s="660">
        <v>5037.3744865027902</v>
      </c>
      <c r="E713" s="661">
        <v>1331.2447255304101</v>
      </c>
      <c r="F713" s="662">
        <v>1.5814293924029199</v>
      </c>
      <c r="G713" s="663">
        <v>0.41792992422462</v>
      </c>
    </row>
    <row r="714" spans="1:7" x14ac:dyDescent="0.3">
      <c r="A714" s="6" t="s">
        <v>6444</v>
      </c>
      <c r="B714" s="6"/>
      <c r="C714" s="656">
        <v>24</v>
      </c>
      <c r="D714" s="656">
        <v>4899.7243599814101</v>
      </c>
      <c r="E714" s="657">
        <v>1185.4341089418101</v>
      </c>
      <c r="F714" s="658">
        <v>1.5382156197258701</v>
      </c>
      <c r="G714" s="659">
        <v>0.37215425370112798</v>
      </c>
    </row>
    <row r="715" spans="1:7" x14ac:dyDescent="0.3">
      <c r="A715" s="11" t="s">
        <v>6445</v>
      </c>
      <c r="B715" s="11"/>
      <c r="C715" s="660">
        <v>13</v>
      </c>
      <c r="D715" s="660">
        <v>4879.3898344686604</v>
      </c>
      <c r="E715" s="661">
        <v>1696.5867082935099</v>
      </c>
      <c r="F715" s="662">
        <v>1.5318318147471901</v>
      </c>
      <c r="G715" s="663">
        <v>0.53262509953239101</v>
      </c>
    </row>
    <row r="716" spans="1:7" x14ac:dyDescent="0.3">
      <c r="A716" s="6" t="s">
        <v>6446</v>
      </c>
      <c r="B716" s="6"/>
      <c r="C716" s="656">
        <v>25</v>
      </c>
      <c r="D716" s="656">
        <v>4584.3901594442996</v>
      </c>
      <c r="E716" s="657">
        <v>2170.3147002258202</v>
      </c>
      <c r="F716" s="658">
        <v>1.4392198483184799</v>
      </c>
      <c r="G716" s="659">
        <v>0.68134689348539001</v>
      </c>
    </row>
    <row r="717" spans="1:7" x14ac:dyDescent="0.3">
      <c r="A717" s="11" t="s">
        <v>6447</v>
      </c>
      <c r="B717" s="11"/>
      <c r="C717" s="660">
        <v>18</v>
      </c>
      <c r="D717" s="660">
        <v>4369.6103049803396</v>
      </c>
      <c r="E717" s="661">
        <v>1343.64878532682</v>
      </c>
      <c r="F717" s="662">
        <v>1.3717920293910999</v>
      </c>
      <c r="G717" s="663">
        <v>0.421824045021024</v>
      </c>
    </row>
    <row r="718" spans="1:7" x14ac:dyDescent="0.3">
      <c r="A718" s="6" t="s">
        <v>6448</v>
      </c>
      <c r="B718" s="6"/>
      <c r="C718" s="656">
        <v>17</v>
      </c>
      <c r="D718" s="656">
        <v>4280.4546049267701</v>
      </c>
      <c r="E718" s="657">
        <v>1339.2603289108699</v>
      </c>
      <c r="F718" s="658">
        <v>1.34380255889555</v>
      </c>
      <c r="G718" s="659">
        <v>0.420446336458349</v>
      </c>
    </row>
    <row r="719" spans="1:7" x14ac:dyDescent="0.3">
      <c r="A719" s="11" t="s">
        <v>6449</v>
      </c>
      <c r="B719" s="11"/>
      <c r="C719" s="660">
        <v>28</v>
      </c>
      <c r="D719" s="660">
        <v>4261.1226742455501</v>
      </c>
      <c r="E719" s="661">
        <v>1301.5890424030099</v>
      </c>
      <c r="F719" s="662">
        <v>1.3377335077513299</v>
      </c>
      <c r="G719" s="663">
        <v>0.408619842340671</v>
      </c>
    </row>
    <row r="720" spans="1:7" x14ac:dyDescent="0.3">
      <c r="A720" s="6" t="s">
        <v>6450</v>
      </c>
      <c r="B720" s="6"/>
      <c r="C720" s="656">
        <v>8</v>
      </c>
      <c r="D720" s="656">
        <v>4241.4596047073201</v>
      </c>
      <c r="E720" s="657">
        <v>1936.8118353293</v>
      </c>
      <c r="F720" s="658">
        <v>1.33156049913426</v>
      </c>
      <c r="G720" s="659">
        <v>0.60804118735870205</v>
      </c>
    </row>
    <row r="721" spans="1:7" x14ac:dyDescent="0.3">
      <c r="A721" s="11" t="s">
        <v>6451</v>
      </c>
      <c r="B721" s="11"/>
      <c r="C721" s="660">
        <v>20</v>
      </c>
      <c r="D721" s="660">
        <v>3809.6551898819398</v>
      </c>
      <c r="E721" s="661">
        <v>1951.3669680412099</v>
      </c>
      <c r="F721" s="662">
        <v>1.1960001600719401</v>
      </c>
      <c r="G721" s="663">
        <v>0.61261061429779895</v>
      </c>
    </row>
    <row r="722" spans="1:7" x14ac:dyDescent="0.3">
      <c r="A722" s="6" t="s">
        <v>6452</v>
      </c>
      <c r="B722" s="6"/>
      <c r="C722" s="656">
        <v>13</v>
      </c>
      <c r="D722" s="656">
        <v>3653.25292643691</v>
      </c>
      <c r="E722" s="657">
        <v>1388.4113453521099</v>
      </c>
      <c r="F722" s="658">
        <v>1.14689935624783</v>
      </c>
      <c r="G722" s="659">
        <v>0.43587676798074598</v>
      </c>
    </row>
    <row r="723" spans="1:7" x14ac:dyDescent="0.3">
      <c r="A723" s="11" t="s">
        <v>6453</v>
      </c>
      <c r="B723" s="11"/>
      <c r="C723" s="660">
        <v>13</v>
      </c>
      <c r="D723" s="660">
        <v>3287.6760025723502</v>
      </c>
      <c r="E723" s="661">
        <v>2762.0636168617598</v>
      </c>
      <c r="F723" s="662">
        <v>1.0321304237150799</v>
      </c>
      <c r="G723" s="663">
        <v>0.86712008390394801</v>
      </c>
    </row>
    <row r="724" spans="1:7" x14ac:dyDescent="0.3">
      <c r="A724" s="6" t="s">
        <v>6454</v>
      </c>
      <c r="B724" s="6"/>
      <c r="C724" s="656">
        <v>17</v>
      </c>
      <c r="D724" s="656">
        <v>3278.7608071003601</v>
      </c>
      <c r="E724" s="657">
        <v>967.42365861050496</v>
      </c>
      <c r="F724" s="658">
        <v>1.02933159424624</v>
      </c>
      <c r="G724" s="659">
        <v>0.30371222404287901</v>
      </c>
    </row>
    <row r="725" spans="1:7" x14ac:dyDescent="0.3">
      <c r="A725" s="11" t="s">
        <v>6455</v>
      </c>
      <c r="B725" s="11"/>
      <c r="C725" s="660">
        <v>9</v>
      </c>
      <c r="D725" s="660">
        <v>3016.16820650709</v>
      </c>
      <c r="E725" s="661">
        <v>1252.6122971042601</v>
      </c>
      <c r="F725" s="662">
        <v>0.94689347932775803</v>
      </c>
      <c r="G725" s="663">
        <v>0.39324412136395898</v>
      </c>
    </row>
    <row r="726" spans="1:7" x14ac:dyDescent="0.3">
      <c r="A726" s="6" t="s">
        <v>6456</v>
      </c>
      <c r="B726" s="6"/>
      <c r="C726" s="656">
        <v>15</v>
      </c>
      <c r="D726" s="656">
        <v>2755.0242397338202</v>
      </c>
      <c r="E726" s="657">
        <v>1254.51850188345</v>
      </c>
      <c r="F726" s="658">
        <v>0.86491014737368499</v>
      </c>
      <c r="G726" s="659">
        <v>0.39384255379613903</v>
      </c>
    </row>
    <row r="727" spans="1:7" x14ac:dyDescent="0.3">
      <c r="A727" s="11" t="s">
        <v>6457</v>
      </c>
      <c r="B727" s="11"/>
      <c r="C727" s="660">
        <v>6</v>
      </c>
      <c r="D727" s="660">
        <v>2240.6122163902401</v>
      </c>
      <c r="E727" s="661">
        <v>838.26734063406195</v>
      </c>
      <c r="F727" s="662">
        <v>0.70341604053276696</v>
      </c>
      <c r="G727" s="663">
        <v>0.26316499095354701</v>
      </c>
    </row>
    <row r="728" spans="1:7" x14ac:dyDescent="0.3">
      <c r="A728" s="6" t="s">
        <v>6458</v>
      </c>
      <c r="B728" s="6"/>
      <c r="C728" s="656">
        <v>8</v>
      </c>
      <c r="D728" s="656">
        <v>2196.68787275968</v>
      </c>
      <c r="E728" s="657">
        <v>783.14178951186398</v>
      </c>
      <c r="F728" s="658">
        <v>0.68962646657008098</v>
      </c>
      <c r="G728" s="659">
        <v>0.24585891870288601</v>
      </c>
    </row>
    <row r="729" spans="1:7" x14ac:dyDescent="0.3">
      <c r="A729" s="11" t="s">
        <v>6354</v>
      </c>
      <c r="B729" s="11" t="s">
        <v>6355</v>
      </c>
      <c r="C729" s="660">
        <v>1049</v>
      </c>
      <c r="D729" s="660">
        <v>318533</v>
      </c>
      <c r="E729" s="661">
        <v>1.0628734365971E-9</v>
      </c>
      <c r="F729" s="662">
        <v>100</v>
      </c>
      <c r="G729" s="663">
        <v>9.5320444878948101E-14</v>
      </c>
    </row>
    <row r="730" spans="1:7" x14ac:dyDescent="0.3">
      <c r="A730" s="6" t="s">
        <v>6354</v>
      </c>
      <c r="B730" s="6" t="s">
        <v>6356</v>
      </c>
      <c r="C730" s="656">
        <v>1049</v>
      </c>
      <c r="D730" s="656">
        <v>318533</v>
      </c>
      <c r="E730" s="657">
        <v>0</v>
      </c>
      <c r="F730" s="658">
        <v>100</v>
      </c>
      <c r="G730" s="659">
        <v>0</v>
      </c>
    </row>
    <row r="731" spans="1:7" x14ac:dyDescent="0.3">
      <c r="A731" s="3449" t="s">
        <v>390</v>
      </c>
      <c r="B731" s="3450"/>
      <c r="C731" s="3450"/>
      <c r="D731" s="3450"/>
      <c r="E731" s="3450"/>
      <c r="F731" s="3450"/>
      <c r="G731" s="3450"/>
    </row>
    <row r="732" spans="1:7" x14ac:dyDescent="0.3">
      <c r="A732" s="11" t="s">
        <v>1019</v>
      </c>
      <c r="B732" s="11" t="s">
        <v>1020</v>
      </c>
      <c r="C732" s="668">
        <v>1049</v>
      </c>
      <c r="D732" s="668">
        <v>318533</v>
      </c>
      <c r="E732" s="669">
        <v>2.4423447799150501E-9</v>
      </c>
      <c r="F732" s="670">
        <v>100</v>
      </c>
      <c r="G732" s="671">
        <v>0</v>
      </c>
    </row>
    <row r="733" spans="1:7" x14ac:dyDescent="0.3">
      <c r="A733" s="6" t="s">
        <v>6354</v>
      </c>
      <c r="B733" s="6" t="s">
        <v>6355</v>
      </c>
      <c r="C733" s="664">
        <v>0</v>
      </c>
      <c r="D733" s="664">
        <v>0</v>
      </c>
      <c r="E733" s="665">
        <v>0</v>
      </c>
      <c r="F733" s="666">
        <v>0</v>
      </c>
      <c r="G733" s="667">
        <v>0</v>
      </c>
    </row>
    <row r="734" spans="1:7" x14ac:dyDescent="0.3">
      <c r="A734" s="11" t="s">
        <v>6354</v>
      </c>
      <c r="B734" s="11" t="s">
        <v>6356</v>
      </c>
      <c r="C734" s="668">
        <v>1049</v>
      </c>
      <c r="D734" s="668">
        <v>318533</v>
      </c>
      <c r="E734" s="669">
        <v>0</v>
      </c>
      <c r="F734" s="670">
        <v>100</v>
      </c>
      <c r="G734" s="671">
        <v>0</v>
      </c>
    </row>
    <row r="735" spans="1:7" x14ac:dyDescent="0.3">
      <c r="A735" s="3449" t="s">
        <v>647</v>
      </c>
      <c r="B735" s="3450"/>
      <c r="C735" s="3450"/>
      <c r="D735" s="3450"/>
      <c r="E735" s="3450"/>
      <c r="F735" s="3450"/>
      <c r="G735" s="3450"/>
    </row>
    <row r="736" spans="1:7" x14ac:dyDescent="0.3">
      <c r="A736" s="11" t="s">
        <v>1021</v>
      </c>
      <c r="B736" s="11"/>
      <c r="C736" s="676">
        <v>1049</v>
      </c>
      <c r="D736" s="676">
        <v>318533</v>
      </c>
      <c r="E736" s="677">
        <v>2.4423447799150501E-9</v>
      </c>
      <c r="F736" s="678">
        <v>100</v>
      </c>
      <c r="G736" s="679">
        <v>0</v>
      </c>
    </row>
    <row r="737" spans="1:7" x14ac:dyDescent="0.3">
      <c r="A737" s="6" t="s">
        <v>6354</v>
      </c>
      <c r="B737" s="6" t="s">
        <v>6355</v>
      </c>
      <c r="C737" s="672">
        <v>1049</v>
      </c>
      <c r="D737" s="672">
        <v>318533</v>
      </c>
      <c r="E737" s="673">
        <v>2.4423447799150501E-9</v>
      </c>
      <c r="F737" s="674">
        <v>100</v>
      </c>
      <c r="G737" s="675">
        <v>0</v>
      </c>
    </row>
    <row r="738" spans="1:7" x14ac:dyDescent="0.3">
      <c r="A738" s="11" t="s">
        <v>6354</v>
      </c>
      <c r="B738" s="11" t="s">
        <v>6356</v>
      </c>
      <c r="C738" s="676">
        <v>1049</v>
      </c>
      <c r="D738" s="676">
        <v>318533</v>
      </c>
      <c r="E738" s="677">
        <v>0</v>
      </c>
      <c r="F738" s="678">
        <v>100</v>
      </c>
      <c r="G738" s="679">
        <v>0</v>
      </c>
    </row>
    <row r="739" spans="1:7" x14ac:dyDescent="0.3">
      <c r="A739" s="3449" t="s">
        <v>102</v>
      </c>
      <c r="B739" s="3450"/>
      <c r="C739" s="3450"/>
      <c r="D739" s="3450"/>
      <c r="E739" s="3450"/>
      <c r="F739" s="3450"/>
      <c r="G739" s="3450"/>
    </row>
    <row r="740" spans="1:7" x14ac:dyDescent="0.3">
      <c r="A740" s="11" t="s">
        <v>1040</v>
      </c>
      <c r="B740" s="11" t="s">
        <v>1184</v>
      </c>
      <c r="C740" s="684">
        <v>1049</v>
      </c>
      <c r="D740" s="684">
        <v>318533</v>
      </c>
      <c r="E740" s="685">
        <v>2.4423447799150501E-9</v>
      </c>
      <c r="F740" s="686">
        <v>100</v>
      </c>
      <c r="G740" s="687">
        <v>0</v>
      </c>
    </row>
    <row r="741" spans="1:7" x14ac:dyDescent="0.3">
      <c r="A741" s="6" t="s">
        <v>6354</v>
      </c>
      <c r="B741" s="6" t="s">
        <v>6355</v>
      </c>
      <c r="C741" s="680">
        <v>1049</v>
      </c>
      <c r="D741" s="680">
        <v>318533</v>
      </c>
      <c r="E741" s="681">
        <v>2.4423447799150501E-9</v>
      </c>
      <c r="F741" s="682">
        <v>100</v>
      </c>
      <c r="G741" s="683">
        <v>0</v>
      </c>
    </row>
    <row r="742" spans="1:7" x14ac:dyDescent="0.3">
      <c r="A742" s="11" t="s">
        <v>6354</v>
      </c>
      <c r="B742" s="11" t="s">
        <v>6356</v>
      </c>
      <c r="C742" s="684">
        <v>1049</v>
      </c>
      <c r="D742" s="684">
        <v>318533</v>
      </c>
      <c r="E742" s="685">
        <v>0</v>
      </c>
      <c r="F742" s="686">
        <v>100</v>
      </c>
      <c r="G742" s="687">
        <v>0</v>
      </c>
    </row>
    <row r="743" spans="1:7" x14ac:dyDescent="0.3">
      <c r="A743" s="3449" t="s">
        <v>104</v>
      </c>
      <c r="B743" s="3450"/>
      <c r="C743" s="3450"/>
      <c r="D743" s="3450"/>
      <c r="E743" s="3450"/>
      <c r="F743" s="3450"/>
      <c r="G743" s="3450"/>
    </row>
    <row r="744" spans="1:7" x14ac:dyDescent="0.3">
      <c r="A744" s="11" t="s">
        <v>1025</v>
      </c>
      <c r="B744" s="11" t="s">
        <v>1189</v>
      </c>
      <c r="C744" s="692">
        <v>1049</v>
      </c>
      <c r="D744" s="692">
        <v>318533</v>
      </c>
      <c r="E744" s="693">
        <v>2.4423447799150501E-9</v>
      </c>
      <c r="F744" s="694">
        <v>100</v>
      </c>
      <c r="G744" s="695">
        <v>0</v>
      </c>
    </row>
    <row r="745" spans="1:7" x14ac:dyDescent="0.3">
      <c r="A745" s="6" t="s">
        <v>6354</v>
      </c>
      <c r="B745" s="6" t="s">
        <v>6355</v>
      </c>
      <c r="C745" s="688">
        <v>1049</v>
      </c>
      <c r="D745" s="688">
        <v>318533</v>
      </c>
      <c r="E745" s="689">
        <v>2.4423447799150501E-9</v>
      </c>
      <c r="F745" s="690">
        <v>100</v>
      </c>
      <c r="G745" s="691">
        <v>0</v>
      </c>
    </row>
    <row r="746" spans="1:7" x14ac:dyDescent="0.3">
      <c r="A746" s="11" t="s">
        <v>6354</v>
      </c>
      <c r="B746" s="11" t="s">
        <v>6356</v>
      </c>
      <c r="C746" s="692">
        <v>1049</v>
      </c>
      <c r="D746" s="692">
        <v>318533</v>
      </c>
      <c r="E746" s="693">
        <v>0</v>
      </c>
      <c r="F746" s="694">
        <v>100</v>
      </c>
      <c r="G746" s="695">
        <v>0</v>
      </c>
    </row>
    <row r="747" spans="1:7" x14ac:dyDescent="0.3">
      <c r="A747" s="3449" t="s">
        <v>100</v>
      </c>
      <c r="B747" s="3450"/>
      <c r="C747" s="3450"/>
      <c r="D747" s="3450"/>
      <c r="E747" s="3450"/>
      <c r="F747" s="3450"/>
      <c r="G747" s="3450"/>
    </row>
    <row r="748" spans="1:7" x14ac:dyDescent="0.3">
      <c r="A748" s="11" t="s">
        <v>1158</v>
      </c>
      <c r="B748" s="11" t="s">
        <v>1159</v>
      </c>
      <c r="C748" s="700">
        <v>1047</v>
      </c>
      <c r="D748" s="700">
        <v>318254.402259733</v>
      </c>
      <c r="E748" s="701">
        <v>219.78817262733699</v>
      </c>
      <c r="F748" s="702">
        <v>99.912537244094906</v>
      </c>
      <c r="G748" s="703">
        <v>6.9000126400431502E-2</v>
      </c>
    </row>
    <row r="749" spans="1:7" x14ac:dyDescent="0.3">
      <c r="A749" s="6" t="s">
        <v>1160</v>
      </c>
      <c r="B749" s="6" t="s">
        <v>1161</v>
      </c>
      <c r="C749" s="696">
        <v>2</v>
      </c>
      <c r="D749" s="696">
        <v>278.597740267061</v>
      </c>
      <c r="E749" s="697">
        <v>219.78817262708799</v>
      </c>
      <c r="F749" s="698">
        <v>8.7462755905059003E-2</v>
      </c>
      <c r="G749" s="699">
        <v>6.9000126400431905E-2</v>
      </c>
    </row>
    <row r="750" spans="1:7" x14ac:dyDescent="0.3">
      <c r="A750" s="11" t="s">
        <v>6354</v>
      </c>
      <c r="B750" s="11" t="s">
        <v>6355</v>
      </c>
      <c r="C750" s="700">
        <v>1049</v>
      </c>
      <c r="D750" s="700">
        <v>318533</v>
      </c>
      <c r="E750" s="701">
        <v>2.4112308371355701E-9</v>
      </c>
      <c r="F750" s="702">
        <v>100</v>
      </c>
      <c r="G750" s="703">
        <v>2.0557335828564899E-14</v>
      </c>
    </row>
    <row r="751" spans="1:7" x14ac:dyDescent="0.3">
      <c r="A751" s="6" t="s">
        <v>6354</v>
      </c>
      <c r="B751" s="6" t="s">
        <v>6356</v>
      </c>
      <c r="C751" s="696">
        <v>1049</v>
      </c>
      <c r="D751" s="696">
        <v>318533</v>
      </c>
      <c r="E751" s="697">
        <v>0</v>
      </c>
      <c r="F751" s="698">
        <v>100</v>
      </c>
      <c r="G751" s="699">
        <v>0</v>
      </c>
    </row>
    <row r="752" spans="1:7" x14ac:dyDescent="0.3">
      <c r="A752" s="3449" t="s">
        <v>248</v>
      </c>
      <c r="B752" s="3450"/>
      <c r="C752" s="3450"/>
      <c r="D752" s="3450"/>
      <c r="E752" s="3450"/>
      <c r="F752" s="3450"/>
      <c r="G752" s="3450"/>
    </row>
    <row r="753" spans="1:7" x14ac:dyDescent="0.3">
      <c r="A753" s="11" t="s">
        <v>1021</v>
      </c>
      <c r="B753" s="11" t="s">
        <v>3056</v>
      </c>
      <c r="C753" s="708">
        <v>825</v>
      </c>
      <c r="D753" s="708">
        <v>241699.079470736</v>
      </c>
      <c r="E753" s="709">
        <v>3641.6042311174801</v>
      </c>
      <c r="F753" s="710">
        <v>75.923032729438305</v>
      </c>
      <c r="G753" s="711">
        <v>1.11814295080924</v>
      </c>
    </row>
    <row r="754" spans="1:7" x14ac:dyDescent="0.3">
      <c r="A754" s="6" t="s">
        <v>1023</v>
      </c>
      <c r="B754" s="6" t="s">
        <v>3057</v>
      </c>
      <c r="C754" s="704">
        <v>57</v>
      </c>
      <c r="D754" s="704">
        <v>29375.116794326001</v>
      </c>
      <c r="E754" s="705">
        <v>0.51770275084029305</v>
      </c>
      <c r="F754" s="706">
        <v>9.2273746291893204</v>
      </c>
      <c r="G754" s="707">
        <v>5.5885537830384999E-3</v>
      </c>
    </row>
    <row r="755" spans="1:7" x14ac:dyDescent="0.3">
      <c r="A755" s="11" t="s">
        <v>1031</v>
      </c>
      <c r="B755" s="11" t="s">
        <v>3061</v>
      </c>
      <c r="C755" s="708">
        <v>94</v>
      </c>
      <c r="D755" s="708">
        <v>27476.860578271699</v>
      </c>
      <c r="E755" s="709">
        <v>4145.7944351823999</v>
      </c>
      <c r="F755" s="710">
        <v>8.6310903192286101</v>
      </c>
      <c r="G755" s="711">
        <v>1.30373879482157</v>
      </c>
    </row>
    <row r="756" spans="1:7" x14ac:dyDescent="0.3">
      <c r="A756" s="6" t="s">
        <v>1027</v>
      </c>
      <c r="B756" s="6" t="s">
        <v>3059</v>
      </c>
      <c r="C756" s="704">
        <v>52</v>
      </c>
      <c r="D756" s="704">
        <v>13661.4130988162</v>
      </c>
      <c r="E756" s="705">
        <v>3271.13392067018</v>
      </c>
      <c r="F756" s="706">
        <v>4.2913523547671604</v>
      </c>
      <c r="G756" s="707">
        <v>1.0284243745024799</v>
      </c>
    </row>
    <row r="757" spans="1:7" x14ac:dyDescent="0.3">
      <c r="A757" s="11" t="s">
        <v>1025</v>
      </c>
      <c r="B757" s="11" t="s">
        <v>3058</v>
      </c>
      <c r="C757" s="708">
        <v>13</v>
      </c>
      <c r="D757" s="708">
        <v>4676.0542497798597</v>
      </c>
      <c r="E757" s="709">
        <v>1851.4586487832</v>
      </c>
      <c r="F757" s="710">
        <v>1.4688521802734</v>
      </c>
      <c r="G757" s="711">
        <v>0.581558438078564</v>
      </c>
    </row>
    <row r="758" spans="1:7" x14ac:dyDescent="0.3">
      <c r="A758" s="6" t="s">
        <v>1052</v>
      </c>
      <c r="B758" s="6" t="s">
        <v>3062</v>
      </c>
      <c r="C758" s="704">
        <v>6</v>
      </c>
      <c r="D758" s="704">
        <v>1296.4514149115801</v>
      </c>
      <c r="E758" s="705">
        <v>729.61382303541995</v>
      </c>
      <c r="F758" s="706">
        <v>0.40724409634491898</v>
      </c>
      <c r="G758" s="707">
        <v>0.22909751541201501</v>
      </c>
    </row>
    <row r="759" spans="1:7" x14ac:dyDescent="0.3">
      <c r="A759" s="11" t="s">
        <v>1029</v>
      </c>
      <c r="B759" s="11" t="s">
        <v>3060</v>
      </c>
      <c r="C759" s="708">
        <v>1</v>
      </c>
      <c r="D759" s="708">
        <v>162.52815010482601</v>
      </c>
      <c r="E759" s="709">
        <v>161.33672091754099</v>
      </c>
      <c r="F759" s="710">
        <v>5.1053690758296001E-2</v>
      </c>
      <c r="G759" s="711">
        <v>5.0680661734198697E-2</v>
      </c>
    </row>
    <row r="760" spans="1:7" x14ac:dyDescent="0.3">
      <c r="A760" s="6" t="s">
        <v>1017</v>
      </c>
      <c r="B760" s="6" t="s">
        <v>3054</v>
      </c>
      <c r="C760" s="704">
        <v>1</v>
      </c>
      <c r="D760" s="704">
        <v>185.49624305372299</v>
      </c>
      <c r="E760" s="705">
        <v>192.71219696239999</v>
      </c>
      <c r="F760" s="706">
        <v>100</v>
      </c>
      <c r="G760" s="707" t="e">
        <v>#NUM!</v>
      </c>
    </row>
    <row r="761" spans="1:7" x14ac:dyDescent="0.3">
      <c r="A761" s="11" t="s">
        <v>6354</v>
      </c>
      <c r="B761" s="11" t="s">
        <v>6355</v>
      </c>
      <c r="C761" s="708">
        <v>1048</v>
      </c>
      <c r="D761" s="708">
        <v>318347.50375694601</v>
      </c>
      <c r="E761" s="709">
        <v>192.71219696243</v>
      </c>
      <c r="F761" s="710">
        <v>99.941765455053698</v>
      </c>
      <c r="G761" s="711">
        <v>6.0499915852484099E-2</v>
      </c>
    </row>
    <row r="762" spans="1:7" x14ac:dyDescent="0.3">
      <c r="A762" s="6" t="s">
        <v>6354</v>
      </c>
      <c r="B762" s="6" t="s">
        <v>6356</v>
      </c>
      <c r="C762" s="704">
        <v>1049</v>
      </c>
      <c r="D762" s="704">
        <v>318533</v>
      </c>
      <c r="E762" s="705">
        <v>0</v>
      </c>
      <c r="F762" s="706">
        <v>100</v>
      </c>
      <c r="G762" s="707">
        <v>0</v>
      </c>
    </row>
    <row r="763" spans="1:7" x14ac:dyDescent="0.3">
      <c r="A763" s="3449" t="s">
        <v>242</v>
      </c>
      <c r="B763" s="3450"/>
      <c r="C763" s="3450"/>
      <c r="D763" s="3450"/>
      <c r="E763" s="3450"/>
      <c r="F763" s="3450"/>
      <c r="G763" s="3450"/>
    </row>
    <row r="764" spans="1:7" x14ac:dyDescent="0.3">
      <c r="A764" s="11" t="s">
        <v>1023</v>
      </c>
      <c r="B764" s="11" t="s">
        <v>1107</v>
      </c>
      <c r="C764" s="716">
        <v>1022</v>
      </c>
      <c r="D764" s="716">
        <v>296001.037770383</v>
      </c>
      <c r="E764" s="717">
        <v>0.159636319525744</v>
      </c>
      <c r="F764" s="718">
        <v>92.926333463215101</v>
      </c>
      <c r="G764" s="719">
        <v>5.0116100625100503E-5</v>
      </c>
    </row>
    <row r="765" spans="1:7" x14ac:dyDescent="0.3">
      <c r="A765" s="6" t="s">
        <v>1021</v>
      </c>
      <c r="B765" s="6" t="s">
        <v>1106</v>
      </c>
      <c r="C765" s="712">
        <v>27</v>
      </c>
      <c r="D765" s="712">
        <v>22531.9622296171</v>
      </c>
      <c r="E765" s="713">
        <v>0.15963631882220899</v>
      </c>
      <c r="F765" s="714">
        <v>7.0736665367849296</v>
      </c>
      <c r="G765" s="715">
        <v>5.01161006515924E-5</v>
      </c>
    </row>
    <row r="766" spans="1:7" x14ac:dyDescent="0.3">
      <c r="A766" s="11" t="s">
        <v>6354</v>
      </c>
      <c r="B766" s="11" t="s">
        <v>6355</v>
      </c>
      <c r="C766" s="716">
        <v>1049</v>
      </c>
      <c r="D766" s="716">
        <v>318533</v>
      </c>
      <c r="E766" s="717">
        <v>1.44601567510543E-9</v>
      </c>
      <c r="F766" s="718">
        <v>100</v>
      </c>
      <c r="G766" s="719">
        <v>0</v>
      </c>
    </row>
    <row r="767" spans="1:7" x14ac:dyDescent="0.3">
      <c r="A767" s="6" t="s">
        <v>6354</v>
      </c>
      <c r="B767" s="6" t="s">
        <v>6356</v>
      </c>
      <c r="C767" s="712">
        <v>1049</v>
      </c>
      <c r="D767" s="712">
        <v>318533</v>
      </c>
      <c r="E767" s="713">
        <v>0</v>
      </c>
      <c r="F767" s="714">
        <v>100</v>
      </c>
      <c r="G767" s="715">
        <v>0</v>
      </c>
    </row>
    <row r="768" spans="1:7" x14ac:dyDescent="0.3">
      <c r="A768" s="3449" t="s">
        <v>237</v>
      </c>
      <c r="B768" s="3450"/>
      <c r="C768" s="3450"/>
      <c r="D768" s="3450"/>
      <c r="E768" s="3450"/>
      <c r="F768" s="3450"/>
      <c r="G768" s="3450"/>
    </row>
    <row r="769" spans="1:7" x14ac:dyDescent="0.3">
      <c r="A769" s="11" t="s">
        <v>2896</v>
      </c>
      <c r="B769" s="11" t="s">
        <v>2897</v>
      </c>
      <c r="C769" s="724">
        <v>1047</v>
      </c>
      <c r="D769" s="724">
        <v>318254.402259733</v>
      </c>
      <c r="E769" s="725">
        <v>219.78817262733699</v>
      </c>
      <c r="F769" s="726">
        <v>99.912537244094906</v>
      </c>
      <c r="G769" s="727">
        <v>6.9000126400431502E-2</v>
      </c>
    </row>
    <row r="770" spans="1:7" x14ac:dyDescent="0.3">
      <c r="A770" s="6" t="s">
        <v>6459</v>
      </c>
      <c r="B770" s="6"/>
      <c r="C770" s="720">
        <v>2</v>
      </c>
      <c r="D770" s="720">
        <v>278.597740267061</v>
      </c>
      <c r="E770" s="721">
        <v>219.78817262708799</v>
      </c>
      <c r="F770" s="722">
        <v>8.7462755905059003E-2</v>
      </c>
      <c r="G770" s="723">
        <v>6.9000126400431905E-2</v>
      </c>
    </row>
    <row r="771" spans="1:7" x14ac:dyDescent="0.3">
      <c r="A771" s="11" t="s">
        <v>6354</v>
      </c>
      <c r="B771" s="11" t="s">
        <v>6355</v>
      </c>
      <c r="C771" s="724">
        <v>1049</v>
      </c>
      <c r="D771" s="724">
        <v>318533</v>
      </c>
      <c r="E771" s="725">
        <v>2.4112308371355701E-9</v>
      </c>
      <c r="F771" s="726">
        <v>100</v>
      </c>
      <c r="G771" s="727">
        <v>2.0557335828564899E-14</v>
      </c>
    </row>
    <row r="772" spans="1:7" x14ac:dyDescent="0.3">
      <c r="A772" s="6" t="s">
        <v>6354</v>
      </c>
      <c r="B772" s="6" t="s">
        <v>6356</v>
      </c>
      <c r="C772" s="720">
        <v>1049</v>
      </c>
      <c r="D772" s="720">
        <v>318533</v>
      </c>
      <c r="E772" s="721">
        <v>0</v>
      </c>
      <c r="F772" s="722">
        <v>100</v>
      </c>
      <c r="G772" s="723">
        <v>0</v>
      </c>
    </row>
    <row r="773" spans="1:7" x14ac:dyDescent="0.3">
      <c r="A773" s="3449" t="s">
        <v>598</v>
      </c>
      <c r="B773" s="3450"/>
      <c r="C773" s="3450"/>
      <c r="D773" s="3450"/>
      <c r="E773" s="3450"/>
      <c r="F773" s="3450"/>
      <c r="G773" s="3450"/>
    </row>
    <row r="774" spans="1:7" x14ac:dyDescent="0.3">
      <c r="A774" s="11" t="s">
        <v>6359</v>
      </c>
      <c r="B774" s="11"/>
      <c r="C774" s="732">
        <v>438</v>
      </c>
      <c r="D774" s="732">
        <v>110702</v>
      </c>
      <c r="E774" s="733">
        <v>8.1304902249409697E-10</v>
      </c>
      <c r="F774" s="734">
        <v>34.753698988801801</v>
      </c>
      <c r="G774" s="735">
        <v>1.07803578559021E-13</v>
      </c>
    </row>
    <row r="775" spans="1:7" x14ac:dyDescent="0.3">
      <c r="A775" s="6" t="s">
        <v>6357</v>
      </c>
      <c r="B775" s="6"/>
      <c r="C775" s="728">
        <v>335</v>
      </c>
      <c r="D775" s="728">
        <v>87277.999999999898</v>
      </c>
      <c r="E775" s="729">
        <v>5.11066198766071E-10</v>
      </c>
      <c r="F775" s="730">
        <v>27.399986814552999</v>
      </c>
      <c r="G775" s="731">
        <v>6.6613381477509405E-14</v>
      </c>
    </row>
    <row r="776" spans="1:7" x14ac:dyDescent="0.3">
      <c r="A776" s="11" t="s">
        <v>6358</v>
      </c>
      <c r="B776" s="11"/>
      <c r="C776" s="732">
        <v>127</v>
      </c>
      <c r="D776" s="732">
        <v>51253.065353500497</v>
      </c>
      <c r="E776" s="733">
        <v>2272.6025357611102</v>
      </c>
      <c r="F776" s="734">
        <v>16.090347107992098</v>
      </c>
      <c r="G776" s="735">
        <v>0.71345905628651496</v>
      </c>
    </row>
    <row r="777" spans="1:7" x14ac:dyDescent="0.3">
      <c r="A777" s="6" t="s">
        <v>6360</v>
      </c>
      <c r="B777" s="6"/>
      <c r="C777" s="728">
        <v>87</v>
      </c>
      <c r="D777" s="728">
        <v>42384.278485818002</v>
      </c>
      <c r="E777" s="729">
        <v>4542.5191172567602</v>
      </c>
      <c r="F777" s="730">
        <v>13.306087119958701</v>
      </c>
      <c r="G777" s="731">
        <v>1.4260748861991701</v>
      </c>
    </row>
    <row r="778" spans="1:7" x14ac:dyDescent="0.3">
      <c r="A778" s="11" t="s">
        <v>6361</v>
      </c>
      <c r="B778" s="11"/>
      <c r="C778" s="732">
        <v>44</v>
      </c>
      <c r="D778" s="732">
        <v>19174.504936728801</v>
      </c>
      <c r="E778" s="733">
        <v>5418.8597449442204</v>
      </c>
      <c r="F778" s="734">
        <v>6.01962902956015</v>
      </c>
      <c r="G778" s="735">
        <v>1.7011925750061101</v>
      </c>
    </row>
    <row r="779" spans="1:7" x14ac:dyDescent="0.3">
      <c r="A779" s="6" t="s">
        <v>6362</v>
      </c>
      <c r="B779" s="6"/>
      <c r="C779" s="728">
        <v>13</v>
      </c>
      <c r="D779" s="728">
        <v>5630.2032634669104</v>
      </c>
      <c r="E779" s="729">
        <v>2249.9160669613302</v>
      </c>
      <c r="F779" s="730">
        <v>1.76754159332531</v>
      </c>
      <c r="G779" s="731">
        <v>0.70633688407836104</v>
      </c>
    </row>
    <row r="780" spans="1:7" x14ac:dyDescent="0.3">
      <c r="A780" s="11" t="s">
        <v>6363</v>
      </c>
      <c r="B780" s="11"/>
      <c r="C780" s="732">
        <v>4</v>
      </c>
      <c r="D780" s="732">
        <v>1955.2877582139199</v>
      </c>
      <c r="E780" s="733">
        <v>1673.0129587048</v>
      </c>
      <c r="F780" s="734">
        <v>0.61384150408714899</v>
      </c>
      <c r="G780" s="735">
        <v>0.52522437508980402</v>
      </c>
    </row>
    <row r="781" spans="1:7" x14ac:dyDescent="0.3">
      <c r="A781" s="6" t="s">
        <v>6364</v>
      </c>
      <c r="B781" s="6"/>
      <c r="C781" s="728">
        <v>1</v>
      </c>
      <c r="D781" s="728">
        <v>155.66020227182</v>
      </c>
      <c r="E781" s="729">
        <v>162.58606737802501</v>
      </c>
      <c r="F781" s="730">
        <v>4.88678417218373E-2</v>
      </c>
      <c r="G781" s="731">
        <v>5.1042142377092897E-2</v>
      </c>
    </row>
    <row r="782" spans="1:7" x14ac:dyDescent="0.3">
      <c r="A782" s="11" t="s">
        <v>6354</v>
      </c>
      <c r="B782" s="11" t="s">
        <v>6355</v>
      </c>
      <c r="C782" s="732">
        <v>1049</v>
      </c>
      <c r="D782" s="732">
        <v>318533</v>
      </c>
      <c r="E782" s="733">
        <v>1.6662328743864401E-9</v>
      </c>
      <c r="F782" s="734">
        <v>100</v>
      </c>
      <c r="G782" s="735">
        <v>9.6968759166016401E-14</v>
      </c>
    </row>
    <row r="783" spans="1:7" x14ac:dyDescent="0.3">
      <c r="A783" s="6" t="s">
        <v>6354</v>
      </c>
      <c r="B783" s="6" t="s">
        <v>6356</v>
      </c>
      <c r="C783" s="728">
        <v>1049</v>
      </c>
      <c r="D783" s="728">
        <v>318533</v>
      </c>
      <c r="E783" s="729">
        <v>0</v>
      </c>
      <c r="F783" s="730">
        <v>100</v>
      </c>
      <c r="G783" s="731">
        <v>0</v>
      </c>
    </row>
    <row r="784" spans="1:7" x14ac:dyDescent="0.3">
      <c r="A784" s="3449" t="s">
        <v>190</v>
      </c>
      <c r="B784" s="3450"/>
      <c r="C784" s="3450"/>
      <c r="D784" s="3450"/>
      <c r="E784" s="3450"/>
      <c r="F784" s="3450"/>
      <c r="G784" s="3450"/>
    </row>
    <row r="785" spans="1:7" x14ac:dyDescent="0.3">
      <c r="A785" s="11" t="s">
        <v>1021</v>
      </c>
      <c r="B785" s="11" t="s">
        <v>1106</v>
      </c>
      <c r="C785" s="740">
        <v>1049</v>
      </c>
      <c r="D785" s="740">
        <v>318533</v>
      </c>
      <c r="E785" s="741">
        <v>2.4423447799150501E-9</v>
      </c>
      <c r="F785" s="742">
        <v>100</v>
      </c>
      <c r="G785" s="743">
        <v>0</v>
      </c>
    </row>
    <row r="786" spans="1:7" x14ac:dyDescent="0.3">
      <c r="A786" s="6" t="s">
        <v>6354</v>
      </c>
      <c r="B786" s="6" t="s">
        <v>6355</v>
      </c>
      <c r="C786" s="736">
        <v>1049</v>
      </c>
      <c r="D786" s="736">
        <v>318533</v>
      </c>
      <c r="E786" s="737">
        <v>2.4423447799150501E-9</v>
      </c>
      <c r="F786" s="738">
        <v>100</v>
      </c>
      <c r="G786" s="739">
        <v>0</v>
      </c>
    </row>
    <row r="787" spans="1:7" x14ac:dyDescent="0.3">
      <c r="A787" s="11" t="s">
        <v>6354</v>
      </c>
      <c r="B787" s="11" t="s">
        <v>6356</v>
      </c>
      <c r="C787" s="740">
        <v>1049</v>
      </c>
      <c r="D787" s="740">
        <v>318533</v>
      </c>
      <c r="E787" s="741">
        <v>0</v>
      </c>
      <c r="F787" s="742">
        <v>100</v>
      </c>
      <c r="G787" s="743">
        <v>0</v>
      </c>
    </row>
    <row r="788" spans="1:7" x14ac:dyDescent="0.3">
      <c r="A788" s="3449" t="s">
        <v>216</v>
      </c>
      <c r="B788" s="3450"/>
      <c r="C788" s="3450"/>
      <c r="D788" s="3450"/>
      <c r="E788" s="3450"/>
      <c r="F788" s="3450"/>
      <c r="G788" s="3450"/>
    </row>
    <row r="789" spans="1:7" x14ac:dyDescent="0.3">
      <c r="A789" s="11" t="s">
        <v>1029</v>
      </c>
      <c r="B789" s="11" t="s">
        <v>1221</v>
      </c>
      <c r="C789" s="748">
        <v>291</v>
      </c>
      <c r="D789" s="748">
        <v>66507.011695106004</v>
      </c>
      <c r="E789" s="749">
        <v>5873.1820113169097</v>
      </c>
      <c r="F789" s="750">
        <v>20.879159049488099</v>
      </c>
      <c r="G789" s="751">
        <v>1.8438221507086801</v>
      </c>
    </row>
    <row r="790" spans="1:7" x14ac:dyDescent="0.3">
      <c r="A790" s="6" t="s">
        <v>1226</v>
      </c>
      <c r="B790" s="6" t="s">
        <v>1227</v>
      </c>
      <c r="C790" s="744">
        <v>118</v>
      </c>
      <c r="D790" s="744">
        <v>53477.165475635898</v>
      </c>
      <c r="E790" s="745">
        <v>8628.1959550092706</v>
      </c>
      <c r="F790" s="746">
        <v>16.788579354614999</v>
      </c>
      <c r="G790" s="747">
        <v>2.7087290657512</v>
      </c>
    </row>
    <row r="791" spans="1:7" x14ac:dyDescent="0.3">
      <c r="A791" s="11" t="s">
        <v>1224</v>
      </c>
      <c r="B791" s="11" t="s">
        <v>1225</v>
      </c>
      <c r="C791" s="748">
        <v>204</v>
      </c>
      <c r="D791" s="748">
        <v>49883.465838125398</v>
      </c>
      <c r="E791" s="749">
        <v>5756.4087134603496</v>
      </c>
      <c r="F791" s="750">
        <v>15.6603761111487</v>
      </c>
      <c r="G791" s="751">
        <v>1.8071624332362299</v>
      </c>
    </row>
    <row r="792" spans="1:7" x14ac:dyDescent="0.3">
      <c r="A792" s="6" t="s">
        <v>1222</v>
      </c>
      <c r="B792" s="6" t="s">
        <v>1223</v>
      </c>
      <c r="C792" s="744">
        <v>155</v>
      </c>
      <c r="D792" s="744">
        <v>42155.763254995203</v>
      </c>
      <c r="E792" s="745">
        <v>4420.2223840161596</v>
      </c>
      <c r="F792" s="746">
        <v>13.234347227758301</v>
      </c>
      <c r="G792" s="747">
        <v>1.3876811457576299</v>
      </c>
    </row>
    <row r="793" spans="1:7" x14ac:dyDescent="0.3">
      <c r="A793" s="11" t="s">
        <v>1228</v>
      </c>
      <c r="B793" s="11" t="s">
        <v>1229</v>
      </c>
      <c r="C793" s="748">
        <v>79</v>
      </c>
      <c r="D793" s="748">
        <v>27932.705565284999</v>
      </c>
      <c r="E793" s="749">
        <v>5155.4200658455302</v>
      </c>
      <c r="F793" s="750">
        <v>8.7691716604826002</v>
      </c>
      <c r="G793" s="751">
        <v>1.6184885289265301</v>
      </c>
    </row>
    <row r="794" spans="1:7" x14ac:dyDescent="0.3">
      <c r="A794" s="6" t="s">
        <v>1230</v>
      </c>
      <c r="B794" s="6" t="s">
        <v>1231</v>
      </c>
      <c r="C794" s="744">
        <v>49</v>
      </c>
      <c r="D794" s="744">
        <v>20065.1848502662</v>
      </c>
      <c r="E794" s="745">
        <v>4878.5445140238098</v>
      </c>
      <c r="F794" s="746">
        <v>6.2992483825117596</v>
      </c>
      <c r="G794" s="747">
        <v>1.5315664355102301</v>
      </c>
    </row>
    <row r="795" spans="1:7" x14ac:dyDescent="0.3">
      <c r="A795" s="11" t="s">
        <v>1219</v>
      </c>
      <c r="B795" s="11" t="s">
        <v>1220</v>
      </c>
      <c r="C795" s="748">
        <v>71</v>
      </c>
      <c r="D795" s="748">
        <v>18995.494526815801</v>
      </c>
      <c r="E795" s="749">
        <v>2846.6570147791199</v>
      </c>
      <c r="F795" s="750">
        <v>5.9634306419792704</v>
      </c>
      <c r="G795" s="751">
        <v>0.89367726884784804</v>
      </c>
    </row>
    <row r="796" spans="1:7" x14ac:dyDescent="0.3">
      <c r="A796" s="6" t="s">
        <v>1232</v>
      </c>
      <c r="B796" s="6" t="s">
        <v>1233</v>
      </c>
      <c r="C796" s="744">
        <v>35</v>
      </c>
      <c r="D796" s="744">
        <v>13302.997167601099</v>
      </c>
      <c r="E796" s="745">
        <v>3025.5642669050299</v>
      </c>
      <c r="F796" s="746">
        <v>4.1763324891302203</v>
      </c>
      <c r="G796" s="747">
        <v>0.94984327115401901</v>
      </c>
    </row>
    <row r="797" spans="1:7" x14ac:dyDescent="0.3">
      <c r="A797" s="11" t="s">
        <v>1234</v>
      </c>
      <c r="B797" s="11" t="s">
        <v>1235</v>
      </c>
      <c r="C797" s="748">
        <v>18</v>
      </c>
      <c r="D797" s="748">
        <v>10464.462414383701</v>
      </c>
      <c r="E797" s="749">
        <v>2578.2145561482898</v>
      </c>
      <c r="F797" s="750">
        <v>3.28520511670177</v>
      </c>
      <c r="G797" s="751">
        <v>0.80940265408867895</v>
      </c>
    </row>
    <row r="798" spans="1:7" x14ac:dyDescent="0.3">
      <c r="A798" s="6" t="s">
        <v>1238</v>
      </c>
      <c r="B798" s="6" t="s">
        <v>1239</v>
      </c>
      <c r="C798" s="744">
        <v>15</v>
      </c>
      <c r="D798" s="744">
        <v>8174.2051544057404</v>
      </c>
      <c r="E798" s="745">
        <v>3155.8486173973602</v>
      </c>
      <c r="F798" s="746">
        <v>2.5662035501520202</v>
      </c>
      <c r="G798" s="747">
        <v>0.99074463788598399</v>
      </c>
    </row>
    <row r="799" spans="1:7" x14ac:dyDescent="0.3">
      <c r="A799" s="11" t="s">
        <v>1236</v>
      </c>
      <c r="B799" s="11" t="s">
        <v>1237</v>
      </c>
      <c r="C799" s="748">
        <v>14</v>
      </c>
      <c r="D799" s="748">
        <v>7574.5440573798296</v>
      </c>
      <c r="E799" s="749">
        <v>3216.88958125516</v>
      </c>
      <c r="F799" s="750">
        <v>2.3779464160321901</v>
      </c>
      <c r="G799" s="751">
        <v>1.00990779016779</v>
      </c>
    </row>
    <row r="800" spans="1:7" x14ac:dyDescent="0.3">
      <c r="A800" s="6" t="s">
        <v>6354</v>
      </c>
      <c r="B800" s="6" t="s">
        <v>6355</v>
      </c>
      <c r="C800" s="744">
        <v>1049</v>
      </c>
      <c r="D800" s="744">
        <v>318533</v>
      </c>
      <c r="E800" s="745">
        <v>5.7285667030040396E-10</v>
      </c>
      <c r="F800" s="746">
        <v>100</v>
      </c>
      <c r="G800" s="747">
        <v>0</v>
      </c>
    </row>
    <row r="801" spans="1:7" x14ac:dyDescent="0.3">
      <c r="A801" s="11" t="s">
        <v>6354</v>
      </c>
      <c r="B801" s="11" t="s">
        <v>6356</v>
      </c>
      <c r="C801" s="748">
        <v>1049</v>
      </c>
      <c r="D801" s="748">
        <v>318533</v>
      </c>
      <c r="E801" s="749">
        <v>0</v>
      </c>
      <c r="F801" s="750">
        <v>100</v>
      </c>
      <c r="G801" s="751">
        <v>0</v>
      </c>
    </row>
    <row r="802" spans="1:7" x14ac:dyDescent="0.3">
      <c r="A802" s="3449" t="s">
        <v>220</v>
      </c>
      <c r="B802" s="3450"/>
      <c r="C802" s="3450"/>
      <c r="D802" s="3450"/>
      <c r="E802" s="3450"/>
      <c r="F802" s="3450"/>
      <c r="G802" s="3450"/>
    </row>
    <row r="803" spans="1:7" x14ac:dyDescent="0.3">
      <c r="A803" s="11" t="s">
        <v>1247</v>
      </c>
      <c r="B803" s="11" t="s">
        <v>1248</v>
      </c>
      <c r="C803" s="756">
        <v>272</v>
      </c>
      <c r="D803" s="756">
        <v>104332.15467203299</v>
      </c>
      <c r="E803" s="757">
        <v>8142.7040026823297</v>
      </c>
      <c r="F803" s="758">
        <v>32.753954746300401</v>
      </c>
      <c r="G803" s="759">
        <v>2.5563141033055601</v>
      </c>
    </row>
    <row r="804" spans="1:7" x14ac:dyDescent="0.3">
      <c r="A804" s="6" t="s">
        <v>1249</v>
      </c>
      <c r="B804" s="6" t="s">
        <v>1250</v>
      </c>
      <c r="C804" s="752">
        <v>183</v>
      </c>
      <c r="D804" s="752">
        <v>79200.5170215322</v>
      </c>
      <c r="E804" s="753">
        <v>5674.0875124394697</v>
      </c>
      <c r="F804" s="754">
        <v>24.864148148396598</v>
      </c>
      <c r="G804" s="755">
        <v>1.78131858000254</v>
      </c>
    </row>
    <row r="805" spans="1:7" x14ac:dyDescent="0.3">
      <c r="A805" s="11" t="s">
        <v>1245</v>
      </c>
      <c r="B805" s="11" t="s">
        <v>1246</v>
      </c>
      <c r="C805" s="756">
        <v>148</v>
      </c>
      <c r="D805" s="756">
        <v>56216.850681357697</v>
      </c>
      <c r="E805" s="757">
        <v>5425.6190448807001</v>
      </c>
      <c r="F805" s="758">
        <v>17.648673977690802</v>
      </c>
      <c r="G805" s="759">
        <v>1.70331458432272</v>
      </c>
    </row>
    <row r="806" spans="1:7" x14ac:dyDescent="0.3">
      <c r="A806" s="6" t="s">
        <v>1241</v>
      </c>
      <c r="B806" s="6" t="s">
        <v>1242</v>
      </c>
      <c r="C806" s="752">
        <v>256</v>
      </c>
      <c r="D806" s="752">
        <v>36179.648383120999</v>
      </c>
      <c r="E806" s="753">
        <v>4260.6619091517396</v>
      </c>
      <c r="F806" s="754">
        <v>11.3582104155993</v>
      </c>
      <c r="G806" s="755">
        <v>1.33758885551944</v>
      </c>
    </row>
    <row r="807" spans="1:7" x14ac:dyDescent="0.3">
      <c r="A807" s="11" t="s">
        <v>1243</v>
      </c>
      <c r="B807" s="11" t="s">
        <v>1244</v>
      </c>
      <c r="C807" s="756">
        <v>92</v>
      </c>
      <c r="D807" s="756">
        <v>25468.993399715</v>
      </c>
      <c r="E807" s="757">
        <v>4604.2288864153898</v>
      </c>
      <c r="F807" s="758">
        <v>7.9957157970178798</v>
      </c>
      <c r="G807" s="759">
        <v>1.4454480026921499</v>
      </c>
    </row>
    <row r="808" spans="1:7" x14ac:dyDescent="0.3">
      <c r="A808" s="6" t="s">
        <v>1228</v>
      </c>
      <c r="B808" s="6" t="s">
        <v>1240</v>
      </c>
      <c r="C808" s="752">
        <v>88</v>
      </c>
      <c r="D808" s="752">
        <v>9982.4974062920301</v>
      </c>
      <c r="E808" s="753">
        <v>2146.48869715509</v>
      </c>
      <c r="F808" s="754">
        <v>3.13389740036104</v>
      </c>
      <c r="G808" s="755">
        <v>0.67386697678265295</v>
      </c>
    </row>
    <row r="809" spans="1:7" x14ac:dyDescent="0.3">
      <c r="A809" s="11" t="s">
        <v>1251</v>
      </c>
      <c r="B809" s="11" t="s">
        <v>1252</v>
      </c>
      <c r="C809" s="756">
        <v>10</v>
      </c>
      <c r="D809" s="756">
        <v>7152.3384359490301</v>
      </c>
      <c r="E809" s="757">
        <v>3090.7681859823101</v>
      </c>
      <c r="F809" s="758">
        <v>2.24539951463397</v>
      </c>
      <c r="G809" s="759">
        <v>0.97031333832987998</v>
      </c>
    </row>
    <row r="810" spans="1:7" x14ac:dyDescent="0.3">
      <c r="A810" s="6" t="s">
        <v>6354</v>
      </c>
      <c r="B810" s="6" t="s">
        <v>6355</v>
      </c>
      <c r="C810" s="752">
        <v>1049</v>
      </c>
      <c r="D810" s="752">
        <v>318533</v>
      </c>
      <c r="E810" s="753">
        <v>1.5876933113888201E-9</v>
      </c>
      <c r="F810" s="754">
        <v>100</v>
      </c>
      <c r="G810" s="755">
        <v>1.78031750616652E-14</v>
      </c>
    </row>
    <row r="811" spans="1:7" x14ac:dyDescent="0.3">
      <c r="A811" s="11" t="s">
        <v>6354</v>
      </c>
      <c r="B811" s="11" t="s">
        <v>6356</v>
      </c>
      <c r="C811" s="756">
        <v>1049</v>
      </c>
      <c r="D811" s="756">
        <v>318533</v>
      </c>
      <c r="E811" s="757">
        <v>0</v>
      </c>
      <c r="F811" s="758">
        <v>100</v>
      </c>
      <c r="G811" s="759">
        <v>0</v>
      </c>
    </row>
    <row r="812" spans="1:7" x14ac:dyDescent="0.3">
      <c r="A812" s="3449" t="s">
        <v>224</v>
      </c>
      <c r="B812" s="3450"/>
      <c r="C812" s="3450"/>
      <c r="D812" s="3450"/>
      <c r="E812" s="3450"/>
      <c r="F812" s="3450"/>
      <c r="G812" s="3450"/>
    </row>
    <row r="813" spans="1:7" x14ac:dyDescent="0.3">
      <c r="A813" s="11" t="s">
        <v>1245</v>
      </c>
      <c r="B813" s="11" t="s">
        <v>1246</v>
      </c>
      <c r="C813" s="764">
        <v>232</v>
      </c>
      <c r="D813" s="764">
        <v>89839.583454522304</v>
      </c>
      <c r="E813" s="765">
        <v>7333.2232600493198</v>
      </c>
      <c r="F813" s="766">
        <v>28.204168313651099</v>
      </c>
      <c r="G813" s="767">
        <v>2.3021863543335801</v>
      </c>
    </row>
    <row r="814" spans="1:7" x14ac:dyDescent="0.3">
      <c r="A814" s="6" t="s">
        <v>1247</v>
      </c>
      <c r="B814" s="6" t="s">
        <v>1248</v>
      </c>
      <c r="C814" s="760">
        <v>141</v>
      </c>
      <c r="D814" s="760">
        <v>65148.470460946497</v>
      </c>
      <c r="E814" s="761">
        <v>6601.88285520503</v>
      </c>
      <c r="F814" s="762">
        <v>20.452659680769798</v>
      </c>
      <c r="G814" s="763">
        <v>2.07258992167375</v>
      </c>
    </row>
    <row r="815" spans="1:7" x14ac:dyDescent="0.3">
      <c r="A815" s="11" t="s">
        <v>1241</v>
      </c>
      <c r="B815" s="11" t="s">
        <v>1242</v>
      </c>
      <c r="C815" s="764">
        <v>306</v>
      </c>
      <c r="D815" s="764">
        <v>63508.4780933414</v>
      </c>
      <c r="E815" s="765">
        <v>5054.5567008969601</v>
      </c>
      <c r="F815" s="766">
        <v>19.937801764131599</v>
      </c>
      <c r="G815" s="767">
        <v>1.5868235633033101</v>
      </c>
    </row>
    <row r="816" spans="1:7" x14ac:dyDescent="0.3">
      <c r="A816" s="6" t="s">
        <v>1243</v>
      </c>
      <c r="B816" s="6" t="s">
        <v>1244</v>
      </c>
      <c r="C816" s="760">
        <v>166</v>
      </c>
      <c r="D816" s="760">
        <v>63480.126178075399</v>
      </c>
      <c r="E816" s="761">
        <v>4052.9689996419702</v>
      </c>
      <c r="F816" s="762">
        <v>19.9289009861068</v>
      </c>
      <c r="G816" s="763">
        <v>1.27238590652834</v>
      </c>
    </row>
    <row r="817" spans="1:7" x14ac:dyDescent="0.3">
      <c r="A817" s="11" t="s">
        <v>1228</v>
      </c>
      <c r="B817" s="11" t="s">
        <v>1240</v>
      </c>
      <c r="C817" s="764">
        <v>178</v>
      </c>
      <c r="D817" s="764">
        <v>23697.914667754601</v>
      </c>
      <c r="E817" s="765">
        <v>3704.0305625924002</v>
      </c>
      <c r="F817" s="766">
        <v>7.4397047300451202</v>
      </c>
      <c r="G817" s="767">
        <v>1.1628404474865699</v>
      </c>
    </row>
    <row r="818" spans="1:7" x14ac:dyDescent="0.3">
      <c r="A818" s="6" t="s">
        <v>1249</v>
      </c>
      <c r="B818" s="6" t="s">
        <v>1250</v>
      </c>
      <c r="C818" s="760">
        <v>25</v>
      </c>
      <c r="D818" s="760">
        <v>12444.424171075299</v>
      </c>
      <c r="E818" s="761">
        <v>3845.0006804443601</v>
      </c>
      <c r="F818" s="762">
        <v>3.9067927565041201</v>
      </c>
      <c r="G818" s="763">
        <v>1.2070964956360399</v>
      </c>
    </row>
    <row r="819" spans="1:7" x14ac:dyDescent="0.3">
      <c r="A819" s="11" t="s">
        <v>1251</v>
      </c>
      <c r="B819" s="11" t="s">
        <v>1252</v>
      </c>
      <c r="C819" s="764">
        <v>1</v>
      </c>
      <c r="D819" s="764">
        <v>414.00297428431998</v>
      </c>
      <c r="E819" s="765">
        <v>438.73636437837303</v>
      </c>
      <c r="F819" s="766">
        <v>0.12997176879140299</v>
      </c>
      <c r="G819" s="767">
        <v>0.137736549864025</v>
      </c>
    </row>
    <row r="820" spans="1:7" x14ac:dyDescent="0.3">
      <c r="A820" s="6" t="s">
        <v>6354</v>
      </c>
      <c r="B820" s="6" t="s">
        <v>6355</v>
      </c>
      <c r="C820" s="760">
        <v>1049</v>
      </c>
      <c r="D820" s="760">
        <v>318533</v>
      </c>
      <c r="E820" s="761">
        <v>2.5476837460923099E-9</v>
      </c>
      <c r="F820" s="762">
        <v>100</v>
      </c>
      <c r="G820" s="763">
        <v>9.6968759166016401E-14</v>
      </c>
    </row>
    <row r="821" spans="1:7" x14ac:dyDescent="0.3">
      <c r="A821" s="11" t="s">
        <v>6354</v>
      </c>
      <c r="B821" s="11" t="s">
        <v>6356</v>
      </c>
      <c r="C821" s="764">
        <v>1049</v>
      </c>
      <c r="D821" s="764">
        <v>318533</v>
      </c>
      <c r="E821" s="765">
        <v>0</v>
      </c>
      <c r="F821" s="766">
        <v>100</v>
      </c>
      <c r="G821" s="767">
        <v>0</v>
      </c>
    </row>
    <row r="822" spans="1:7" x14ac:dyDescent="0.3">
      <c r="A822" s="3449" t="s">
        <v>328</v>
      </c>
      <c r="B822" s="3450"/>
      <c r="C822" s="3450"/>
      <c r="D822" s="3450"/>
      <c r="E822" s="3450"/>
      <c r="F822" s="3450"/>
      <c r="G822" s="3450"/>
    </row>
    <row r="823" spans="1:7" x14ac:dyDescent="0.3">
      <c r="A823" s="11" t="s">
        <v>1245</v>
      </c>
      <c r="B823" s="11" t="s">
        <v>1246</v>
      </c>
      <c r="C823" s="772">
        <v>245</v>
      </c>
      <c r="D823" s="772">
        <v>98595.523777926093</v>
      </c>
      <c r="E823" s="773">
        <v>4608.5994007334502</v>
      </c>
      <c r="F823" s="774">
        <v>30.953001346148199</v>
      </c>
      <c r="G823" s="775">
        <v>1.4468200785267</v>
      </c>
    </row>
    <row r="824" spans="1:7" x14ac:dyDescent="0.3">
      <c r="A824" s="6" t="s">
        <v>1243</v>
      </c>
      <c r="B824" s="6" t="s">
        <v>1244</v>
      </c>
      <c r="C824" s="768">
        <v>202</v>
      </c>
      <c r="D824" s="768">
        <v>78281.934029351207</v>
      </c>
      <c r="E824" s="769">
        <v>5089.2802474628597</v>
      </c>
      <c r="F824" s="770">
        <v>24.575768924837099</v>
      </c>
      <c r="G824" s="771">
        <v>1.59772464625734</v>
      </c>
    </row>
    <row r="825" spans="1:7" x14ac:dyDescent="0.3">
      <c r="A825" s="11" t="s">
        <v>1247</v>
      </c>
      <c r="B825" s="11" t="s">
        <v>1248</v>
      </c>
      <c r="C825" s="772">
        <v>130</v>
      </c>
      <c r="D825" s="772">
        <v>57370.165400274898</v>
      </c>
      <c r="E825" s="773">
        <v>5957.1771335580097</v>
      </c>
      <c r="F825" s="774">
        <v>18.010744695298399</v>
      </c>
      <c r="G825" s="775">
        <v>1.87019151345638</v>
      </c>
    </row>
    <row r="826" spans="1:7" x14ac:dyDescent="0.3">
      <c r="A826" s="6" t="s">
        <v>3164</v>
      </c>
      <c r="B826" s="6" t="s">
        <v>3165</v>
      </c>
      <c r="C826" s="768">
        <v>220</v>
      </c>
      <c r="D826" s="768">
        <v>33145.205388615897</v>
      </c>
      <c r="E826" s="769">
        <v>5693.3614356545904</v>
      </c>
      <c r="F826" s="770">
        <v>10.4055797636716</v>
      </c>
      <c r="G826" s="771">
        <v>1.7873694203283701</v>
      </c>
    </row>
    <row r="827" spans="1:7" x14ac:dyDescent="0.3">
      <c r="A827" s="11" t="s">
        <v>3166</v>
      </c>
      <c r="B827" s="11" t="s">
        <v>3167</v>
      </c>
      <c r="C827" s="772">
        <v>87</v>
      </c>
      <c r="D827" s="772">
        <v>25250.54847514</v>
      </c>
      <c r="E827" s="773">
        <v>3980.7498677592098</v>
      </c>
      <c r="F827" s="774">
        <v>7.9271373688565996</v>
      </c>
      <c r="G827" s="775">
        <v>1.24971348895066</v>
      </c>
    </row>
    <row r="828" spans="1:7" x14ac:dyDescent="0.3">
      <c r="A828" s="6" t="s">
        <v>3162</v>
      </c>
      <c r="B828" s="6" t="s">
        <v>3163</v>
      </c>
      <c r="C828" s="768">
        <v>71</v>
      </c>
      <c r="D828" s="768">
        <v>12256.4333699618</v>
      </c>
      <c r="E828" s="769">
        <v>3576.9514863436698</v>
      </c>
      <c r="F828" s="770">
        <v>3.8477750719585799</v>
      </c>
      <c r="G828" s="771">
        <v>1.1229453420347899</v>
      </c>
    </row>
    <row r="829" spans="1:7" x14ac:dyDescent="0.3">
      <c r="A829" s="11" t="s">
        <v>3099</v>
      </c>
      <c r="B829" s="11" t="s">
        <v>3161</v>
      </c>
      <c r="C829" s="772">
        <v>85</v>
      </c>
      <c r="D829" s="772">
        <v>7629.3423604878299</v>
      </c>
      <c r="E829" s="773">
        <v>1393.80021436418</v>
      </c>
      <c r="F829" s="774">
        <v>2.3951497522981402</v>
      </c>
      <c r="G829" s="775">
        <v>0.437568545288614</v>
      </c>
    </row>
    <row r="830" spans="1:7" x14ac:dyDescent="0.3">
      <c r="A830" s="6" t="s">
        <v>3168</v>
      </c>
      <c r="B830" s="6" t="s">
        <v>3169</v>
      </c>
      <c r="C830" s="768">
        <v>9</v>
      </c>
      <c r="D830" s="768">
        <v>6003.8471982421297</v>
      </c>
      <c r="E830" s="769">
        <v>3362.4012947035399</v>
      </c>
      <c r="F830" s="770">
        <v>1.8848430769314699</v>
      </c>
      <c r="G830" s="771">
        <v>1.05558962327405</v>
      </c>
    </row>
    <row r="831" spans="1:7" x14ac:dyDescent="0.3">
      <c r="A831" s="11" t="s">
        <v>6354</v>
      </c>
      <c r="B831" s="11" t="s">
        <v>6355</v>
      </c>
      <c r="C831" s="772">
        <v>1049</v>
      </c>
      <c r="D831" s="772">
        <v>318533</v>
      </c>
      <c r="E831" s="773">
        <v>6.3076419983700695E-10</v>
      </c>
      <c r="F831" s="774">
        <v>100</v>
      </c>
      <c r="G831" s="775">
        <v>1.45362315675074E-14</v>
      </c>
    </row>
    <row r="832" spans="1:7" x14ac:dyDescent="0.3">
      <c r="A832" s="6" t="s">
        <v>6354</v>
      </c>
      <c r="B832" s="6" t="s">
        <v>6356</v>
      </c>
      <c r="C832" s="768">
        <v>1049</v>
      </c>
      <c r="D832" s="768">
        <v>318533</v>
      </c>
      <c r="E832" s="769">
        <v>0</v>
      </c>
      <c r="F832" s="770">
        <v>100</v>
      </c>
      <c r="G832" s="771">
        <v>0</v>
      </c>
    </row>
    <row r="833" spans="1:7" x14ac:dyDescent="0.3">
      <c r="A833" s="3449" t="s">
        <v>332</v>
      </c>
      <c r="B833" s="3450"/>
      <c r="C833" s="3450"/>
      <c r="D833" s="3450"/>
      <c r="E833" s="3450"/>
      <c r="F833" s="3450"/>
      <c r="G833" s="3450"/>
    </row>
    <row r="834" spans="1:7" x14ac:dyDescent="0.3">
      <c r="A834" s="11" t="s">
        <v>1226</v>
      </c>
      <c r="B834" s="11" t="s">
        <v>1227</v>
      </c>
      <c r="C834" s="780">
        <v>171</v>
      </c>
      <c r="D834" s="780">
        <v>68672.487291312893</v>
      </c>
      <c r="E834" s="781">
        <v>5232.7242848061096</v>
      </c>
      <c r="F834" s="782">
        <v>21.558986758456101</v>
      </c>
      <c r="G834" s="783">
        <v>1.64275735475009</v>
      </c>
    </row>
    <row r="835" spans="1:7" x14ac:dyDescent="0.3">
      <c r="A835" s="6" t="s">
        <v>1029</v>
      </c>
      <c r="B835" s="6" t="s">
        <v>1221</v>
      </c>
      <c r="C835" s="776">
        <v>283</v>
      </c>
      <c r="D835" s="776">
        <v>56600.861988632598</v>
      </c>
      <c r="E835" s="777">
        <v>3752.6183772079899</v>
      </c>
      <c r="F835" s="778">
        <v>17.769230186082002</v>
      </c>
      <c r="G835" s="779">
        <v>1.1780940678698799</v>
      </c>
    </row>
    <row r="836" spans="1:7" x14ac:dyDescent="0.3">
      <c r="A836" s="11" t="s">
        <v>1222</v>
      </c>
      <c r="B836" s="11" t="s">
        <v>1223</v>
      </c>
      <c r="C836" s="780">
        <v>194</v>
      </c>
      <c r="D836" s="780">
        <v>49707.9628021713</v>
      </c>
      <c r="E836" s="781">
        <v>5059.9392941123597</v>
      </c>
      <c r="F836" s="782">
        <v>15.6052788257955</v>
      </c>
      <c r="G836" s="783">
        <v>1.5885133703925001</v>
      </c>
    </row>
    <row r="837" spans="1:7" x14ac:dyDescent="0.3">
      <c r="A837" s="6" t="s">
        <v>1224</v>
      </c>
      <c r="B837" s="6" t="s">
        <v>1225</v>
      </c>
      <c r="C837" s="776">
        <v>156</v>
      </c>
      <c r="D837" s="776">
        <v>44885.016904382399</v>
      </c>
      <c r="E837" s="777">
        <v>5003.3175280290197</v>
      </c>
      <c r="F837" s="778">
        <v>14.0911669762261</v>
      </c>
      <c r="G837" s="779">
        <v>1.5707375775913399</v>
      </c>
    </row>
    <row r="838" spans="1:7" x14ac:dyDescent="0.3">
      <c r="A838" s="11" t="s">
        <v>1228</v>
      </c>
      <c r="B838" s="11" t="s">
        <v>1229</v>
      </c>
      <c r="C838" s="780">
        <v>117</v>
      </c>
      <c r="D838" s="780">
        <v>44000.371554901198</v>
      </c>
      <c r="E838" s="781">
        <v>8807.6199403578394</v>
      </c>
      <c r="F838" s="782">
        <v>13.8134421095777</v>
      </c>
      <c r="G838" s="783">
        <v>2.7650572908797</v>
      </c>
    </row>
    <row r="839" spans="1:7" x14ac:dyDescent="0.3">
      <c r="A839" s="6" t="s">
        <v>1232</v>
      </c>
      <c r="B839" s="6" t="s">
        <v>1233</v>
      </c>
      <c r="C839" s="776">
        <v>32</v>
      </c>
      <c r="D839" s="776">
        <v>15976.1323487768</v>
      </c>
      <c r="E839" s="777">
        <v>2836.8057265273701</v>
      </c>
      <c r="F839" s="778">
        <v>5.0155344497357701</v>
      </c>
      <c r="G839" s="779">
        <v>0.89058456314647805</v>
      </c>
    </row>
    <row r="840" spans="1:7" x14ac:dyDescent="0.3">
      <c r="A840" s="11" t="s">
        <v>1230</v>
      </c>
      <c r="B840" s="11" t="s">
        <v>1231</v>
      </c>
      <c r="C840" s="780">
        <v>38</v>
      </c>
      <c r="D840" s="780">
        <v>15462.764653194199</v>
      </c>
      <c r="E840" s="781">
        <v>4214.9990888571901</v>
      </c>
      <c r="F840" s="782">
        <v>4.8543681983324296</v>
      </c>
      <c r="G840" s="783">
        <v>1.3232535055574099</v>
      </c>
    </row>
    <row r="841" spans="1:7" x14ac:dyDescent="0.3">
      <c r="A841" s="6" t="s">
        <v>1219</v>
      </c>
      <c r="B841" s="6" t="s">
        <v>1220</v>
      </c>
      <c r="C841" s="776">
        <v>30</v>
      </c>
      <c r="D841" s="776">
        <v>10366.4482517384</v>
      </c>
      <c r="E841" s="777">
        <v>3395.9539099942399</v>
      </c>
      <c r="F841" s="778">
        <v>3.25443462741329</v>
      </c>
      <c r="G841" s="779">
        <v>1.0661231049826101</v>
      </c>
    </row>
    <row r="842" spans="1:7" x14ac:dyDescent="0.3">
      <c r="A842" s="11" t="s">
        <v>1236</v>
      </c>
      <c r="B842" s="11" t="s">
        <v>1237</v>
      </c>
      <c r="C842" s="780">
        <v>14</v>
      </c>
      <c r="D842" s="780">
        <v>5987.0352320764096</v>
      </c>
      <c r="E842" s="781">
        <v>1293.9883847021799</v>
      </c>
      <c r="F842" s="782">
        <v>1.8795651414693</v>
      </c>
      <c r="G842" s="783">
        <v>0.40623369782791202</v>
      </c>
    </row>
    <row r="843" spans="1:7" x14ac:dyDescent="0.3">
      <c r="A843" s="6" t="s">
        <v>1234</v>
      </c>
      <c r="B843" s="6" t="s">
        <v>1235</v>
      </c>
      <c r="C843" s="776">
        <v>11</v>
      </c>
      <c r="D843" s="776">
        <v>5561.6710743267904</v>
      </c>
      <c r="E843" s="777">
        <v>2306.73160850153</v>
      </c>
      <c r="F843" s="778">
        <v>1.7460266516583201</v>
      </c>
      <c r="G843" s="779">
        <v>0.72417351059436097</v>
      </c>
    </row>
    <row r="844" spans="1:7" x14ac:dyDescent="0.3">
      <c r="A844" s="11" t="s">
        <v>1238</v>
      </c>
      <c r="B844" s="11" t="s">
        <v>1239</v>
      </c>
      <c r="C844" s="780">
        <v>3</v>
      </c>
      <c r="D844" s="780">
        <v>1312.2478984868701</v>
      </c>
      <c r="E844" s="781">
        <v>849.48656366763703</v>
      </c>
      <c r="F844" s="782">
        <v>0.41196607525338702</v>
      </c>
      <c r="G844" s="783">
        <v>0.266687145026618</v>
      </c>
    </row>
    <row r="845" spans="1:7" x14ac:dyDescent="0.3">
      <c r="A845" s="6" t="s">
        <v>6354</v>
      </c>
      <c r="B845" s="6" t="s">
        <v>6355</v>
      </c>
      <c r="C845" s="776">
        <v>1049</v>
      </c>
      <c r="D845" s="776">
        <v>318533</v>
      </c>
      <c r="E845" s="777">
        <v>1.10178002256447E-9</v>
      </c>
      <c r="F845" s="778">
        <v>100</v>
      </c>
      <c r="G845" s="779">
        <v>9.6422451950283797E-14</v>
      </c>
    </row>
    <row r="846" spans="1:7" x14ac:dyDescent="0.3">
      <c r="A846" s="11" t="s">
        <v>6354</v>
      </c>
      <c r="B846" s="11" t="s">
        <v>6356</v>
      </c>
      <c r="C846" s="780">
        <v>1049</v>
      </c>
      <c r="D846" s="780">
        <v>318533</v>
      </c>
      <c r="E846" s="781">
        <v>0</v>
      </c>
      <c r="F846" s="782">
        <v>100</v>
      </c>
      <c r="G846" s="783">
        <v>0</v>
      </c>
    </row>
    <row r="847" spans="1:7" x14ac:dyDescent="0.3">
      <c r="A847" s="3449" t="s">
        <v>336</v>
      </c>
      <c r="B847" s="3450"/>
      <c r="C847" s="3450"/>
      <c r="D847" s="3450"/>
      <c r="E847" s="3450"/>
      <c r="F847" s="3450"/>
      <c r="G847" s="3450"/>
    </row>
    <row r="848" spans="1:7" x14ac:dyDescent="0.3">
      <c r="A848" s="11" t="s">
        <v>1247</v>
      </c>
      <c r="B848" s="11" t="s">
        <v>1248</v>
      </c>
      <c r="C848" s="788">
        <v>280</v>
      </c>
      <c r="D848" s="788">
        <v>107537.268564129</v>
      </c>
      <c r="E848" s="789">
        <v>5700.8908484970998</v>
      </c>
      <c r="F848" s="790">
        <v>33.760165685856499</v>
      </c>
      <c r="G848" s="791">
        <v>1.7897331982862299</v>
      </c>
    </row>
    <row r="849" spans="1:7" x14ac:dyDescent="0.3">
      <c r="A849" s="6" t="s">
        <v>1249</v>
      </c>
      <c r="B849" s="6" t="s">
        <v>1250</v>
      </c>
      <c r="C849" s="784">
        <v>161</v>
      </c>
      <c r="D849" s="784">
        <v>76779.381345459406</v>
      </c>
      <c r="E849" s="785">
        <v>5683.8285643373501</v>
      </c>
      <c r="F849" s="786">
        <v>24.1040587146259</v>
      </c>
      <c r="G849" s="787">
        <v>1.7843766781895001</v>
      </c>
    </row>
    <row r="850" spans="1:7" x14ac:dyDescent="0.3">
      <c r="A850" s="11" t="s">
        <v>1245</v>
      </c>
      <c r="B850" s="11" t="s">
        <v>1246</v>
      </c>
      <c r="C850" s="788">
        <v>139</v>
      </c>
      <c r="D850" s="788">
        <v>55736.496104362399</v>
      </c>
      <c r="E850" s="789">
        <v>4471.6548935733299</v>
      </c>
      <c r="F850" s="790">
        <v>17.497871838824398</v>
      </c>
      <c r="G850" s="791">
        <v>1.40382782743808</v>
      </c>
    </row>
    <row r="851" spans="1:7" x14ac:dyDescent="0.3">
      <c r="A851" s="6" t="s">
        <v>1241</v>
      </c>
      <c r="B851" s="6" t="s">
        <v>1242</v>
      </c>
      <c r="C851" s="784">
        <v>238</v>
      </c>
      <c r="D851" s="784">
        <v>36774.481198466099</v>
      </c>
      <c r="E851" s="785">
        <v>5150.5439485331199</v>
      </c>
      <c r="F851" s="786">
        <v>11.5449517627581</v>
      </c>
      <c r="G851" s="787">
        <v>1.6169577244847799</v>
      </c>
    </row>
    <row r="852" spans="1:7" x14ac:dyDescent="0.3">
      <c r="A852" s="11" t="s">
        <v>1243</v>
      </c>
      <c r="B852" s="11" t="s">
        <v>1244</v>
      </c>
      <c r="C852" s="788">
        <v>146</v>
      </c>
      <c r="D852" s="788">
        <v>34076.030427094898</v>
      </c>
      <c r="E852" s="789">
        <v>2918.2689835736401</v>
      </c>
      <c r="F852" s="790">
        <v>10.697802245637</v>
      </c>
      <c r="G852" s="791">
        <v>0.91615907412219</v>
      </c>
    </row>
    <row r="853" spans="1:7" x14ac:dyDescent="0.3">
      <c r="A853" s="6" t="s">
        <v>1228</v>
      </c>
      <c r="B853" s="6" t="s">
        <v>1240</v>
      </c>
      <c r="C853" s="784">
        <v>85</v>
      </c>
      <c r="D853" s="784">
        <v>7629.3423604878299</v>
      </c>
      <c r="E853" s="785">
        <v>1393.80021436418</v>
      </c>
      <c r="F853" s="786">
        <v>2.3951497522981402</v>
      </c>
      <c r="G853" s="787">
        <v>0.437568545288615</v>
      </c>
    </row>
    <row r="854" spans="1:7" x14ac:dyDescent="0.3">
      <c r="A854" s="11" t="s">
        <v>6354</v>
      </c>
      <c r="B854" s="11" t="s">
        <v>6355</v>
      </c>
      <c r="C854" s="788">
        <v>1049</v>
      </c>
      <c r="D854" s="788">
        <v>318533</v>
      </c>
      <c r="E854" s="789">
        <v>1.0096254997112399E-9</v>
      </c>
      <c r="F854" s="790">
        <v>100</v>
      </c>
      <c r="G854" s="791">
        <v>3.70602642084119E-14</v>
      </c>
    </row>
    <row r="855" spans="1:7" x14ac:dyDescent="0.3">
      <c r="A855" s="6" t="s">
        <v>6354</v>
      </c>
      <c r="B855" s="6" t="s">
        <v>6356</v>
      </c>
      <c r="C855" s="784">
        <v>1049</v>
      </c>
      <c r="D855" s="784">
        <v>318533</v>
      </c>
      <c r="E855" s="785">
        <v>0</v>
      </c>
      <c r="F855" s="786">
        <v>100</v>
      </c>
      <c r="G855" s="787">
        <v>0</v>
      </c>
    </row>
    <row r="856" spans="1:7" x14ac:dyDescent="0.3">
      <c r="A856" s="3449" t="s">
        <v>340</v>
      </c>
      <c r="B856" s="3450"/>
      <c r="C856" s="3450"/>
      <c r="D856" s="3450"/>
      <c r="E856" s="3450"/>
      <c r="F856" s="3450"/>
      <c r="G856" s="3450"/>
    </row>
    <row r="857" spans="1:7" x14ac:dyDescent="0.3">
      <c r="A857" s="11" t="s">
        <v>1245</v>
      </c>
      <c r="B857" s="11" t="s">
        <v>1246</v>
      </c>
      <c r="C857" s="796">
        <v>197</v>
      </c>
      <c r="D857" s="796">
        <v>86287.344549035799</v>
      </c>
      <c r="E857" s="797">
        <v>6127.2202499837003</v>
      </c>
      <c r="F857" s="798">
        <v>27.088981219853501</v>
      </c>
      <c r="G857" s="799">
        <v>1.92357471595838</v>
      </c>
    </row>
    <row r="858" spans="1:7" x14ac:dyDescent="0.3">
      <c r="A858" s="6" t="s">
        <v>1243</v>
      </c>
      <c r="B858" s="6" t="s">
        <v>1244</v>
      </c>
      <c r="C858" s="792">
        <v>197</v>
      </c>
      <c r="D858" s="792">
        <v>74745.856466069206</v>
      </c>
      <c r="E858" s="793">
        <v>4739.6004171254899</v>
      </c>
      <c r="F858" s="794">
        <v>23.465655510125899</v>
      </c>
      <c r="G858" s="795">
        <v>1.4879464347886999</v>
      </c>
    </row>
    <row r="859" spans="1:7" x14ac:dyDescent="0.3">
      <c r="A859" s="11" t="s">
        <v>1241</v>
      </c>
      <c r="B859" s="11" t="s">
        <v>1242</v>
      </c>
      <c r="C859" s="796">
        <v>316</v>
      </c>
      <c r="D859" s="796">
        <v>66458.906342898801</v>
      </c>
      <c r="E859" s="797">
        <v>3106.5798614434798</v>
      </c>
      <c r="F859" s="798">
        <v>20.864056892974599</v>
      </c>
      <c r="G859" s="799">
        <v>0.97527724331339605</v>
      </c>
    </row>
    <row r="860" spans="1:7" x14ac:dyDescent="0.3">
      <c r="A860" s="6" t="s">
        <v>1247</v>
      </c>
      <c r="B860" s="6" t="s">
        <v>1248</v>
      </c>
      <c r="C860" s="792">
        <v>138</v>
      </c>
      <c r="D860" s="792">
        <v>58368.862511624</v>
      </c>
      <c r="E860" s="793">
        <v>5836.6686556074401</v>
      </c>
      <c r="F860" s="794">
        <v>18.324274882547201</v>
      </c>
      <c r="G860" s="795">
        <v>1.83235917647699</v>
      </c>
    </row>
    <row r="861" spans="1:7" x14ac:dyDescent="0.3">
      <c r="A861" s="11" t="s">
        <v>1228</v>
      </c>
      <c r="B861" s="11" t="s">
        <v>1240</v>
      </c>
      <c r="C861" s="796">
        <v>189</v>
      </c>
      <c r="D861" s="796">
        <v>25785.768497643501</v>
      </c>
      <c r="E861" s="797">
        <v>4416.1127906916599</v>
      </c>
      <c r="F861" s="798">
        <v>8.0951639226213601</v>
      </c>
      <c r="G861" s="799">
        <v>1.3863909832550001</v>
      </c>
    </row>
    <row r="862" spans="1:7" x14ac:dyDescent="0.3">
      <c r="A862" s="6" t="s">
        <v>1249</v>
      </c>
      <c r="B862" s="6" t="s">
        <v>1250</v>
      </c>
      <c r="C862" s="792">
        <v>12</v>
      </c>
      <c r="D862" s="792">
        <v>6886.2616327286596</v>
      </c>
      <c r="E862" s="793">
        <v>2346.1054844893101</v>
      </c>
      <c r="F862" s="794">
        <v>2.1618675718775302</v>
      </c>
      <c r="G862" s="795">
        <v>0.73653451431698103</v>
      </c>
    </row>
    <row r="863" spans="1:7" x14ac:dyDescent="0.3">
      <c r="A863" s="11" t="s">
        <v>6354</v>
      </c>
      <c r="B863" s="11" t="s">
        <v>6355</v>
      </c>
      <c r="C863" s="796">
        <v>1049</v>
      </c>
      <c r="D863" s="796">
        <v>318533</v>
      </c>
      <c r="E863" s="797">
        <v>1.1030971539643199E-9</v>
      </c>
      <c r="F863" s="798">
        <v>100</v>
      </c>
      <c r="G863" s="799">
        <v>2.9072463135014902E-14</v>
      </c>
    </row>
    <row r="864" spans="1:7" x14ac:dyDescent="0.3">
      <c r="A864" s="6" t="s">
        <v>6354</v>
      </c>
      <c r="B864" s="6" t="s">
        <v>6356</v>
      </c>
      <c r="C864" s="792">
        <v>1049</v>
      </c>
      <c r="D864" s="792">
        <v>318533</v>
      </c>
      <c r="E864" s="793">
        <v>0</v>
      </c>
      <c r="F864" s="794">
        <v>100</v>
      </c>
      <c r="G864" s="795">
        <v>0</v>
      </c>
    </row>
    <row r="865" spans="1:7" x14ac:dyDescent="0.3">
      <c r="A865" s="3449" t="s">
        <v>218</v>
      </c>
      <c r="B865" s="3450"/>
      <c r="C865" s="3450"/>
      <c r="D865" s="3450"/>
      <c r="E865" s="3450"/>
      <c r="F865" s="3450"/>
      <c r="G865" s="3450"/>
    </row>
    <row r="866" spans="1:7" x14ac:dyDescent="0.3">
      <c r="A866" s="11" t="s">
        <v>6354</v>
      </c>
      <c r="B866" s="11" t="s">
        <v>6355</v>
      </c>
      <c r="C866" s="804">
        <v>1015</v>
      </c>
      <c r="D866" s="804">
        <v>318533</v>
      </c>
      <c r="E866" s="805">
        <v>1.06696404864915E-9</v>
      </c>
      <c r="F866" s="806">
        <v>100</v>
      </c>
      <c r="G866" s="807">
        <v>1.45362315675074E-14</v>
      </c>
    </row>
    <row r="867" spans="1:7" x14ac:dyDescent="0.3">
      <c r="A867" s="6" t="s">
        <v>6354</v>
      </c>
      <c r="B867" s="6" t="s">
        <v>6356</v>
      </c>
      <c r="C867" s="800">
        <v>1015</v>
      </c>
      <c r="D867" s="800">
        <v>318533</v>
      </c>
      <c r="E867" s="801">
        <v>0</v>
      </c>
      <c r="F867" s="802">
        <v>100</v>
      </c>
      <c r="G867" s="803">
        <v>0</v>
      </c>
    </row>
    <row r="868" spans="1:7" x14ac:dyDescent="0.3">
      <c r="A868" s="3449" t="s">
        <v>222</v>
      </c>
      <c r="B868" s="3450"/>
      <c r="C868" s="3450"/>
      <c r="D868" s="3450"/>
      <c r="E868" s="3450"/>
      <c r="F868" s="3450"/>
      <c r="G868" s="3450"/>
    </row>
    <row r="869" spans="1:7" x14ac:dyDescent="0.3">
      <c r="A869" s="11" t="s">
        <v>6354</v>
      </c>
      <c r="B869" s="11" t="s">
        <v>6355</v>
      </c>
      <c r="C869" s="812">
        <v>1015</v>
      </c>
      <c r="D869" s="812">
        <v>318533</v>
      </c>
      <c r="E869" s="813">
        <v>1.06696404864915E-9</v>
      </c>
      <c r="F869" s="814">
        <v>100</v>
      </c>
      <c r="G869" s="815">
        <v>1.45362315675074E-14</v>
      </c>
    </row>
    <row r="870" spans="1:7" x14ac:dyDescent="0.3">
      <c r="A870" s="6" t="s">
        <v>6354</v>
      </c>
      <c r="B870" s="6" t="s">
        <v>6356</v>
      </c>
      <c r="C870" s="808">
        <v>1015</v>
      </c>
      <c r="D870" s="808">
        <v>318533</v>
      </c>
      <c r="E870" s="809">
        <v>0</v>
      </c>
      <c r="F870" s="810">
        <v>100</v>
      </c>
      <c r="G870" s="811">
        <v>0</v>
      </c>
    </row>
    <row r="871" spans="1:7" x14ac:dyDescent="0.3">
      <c r="A871" s="3449" t="s">
        <v>226</v>
      </c>
      <c r="B871" s="3450"/>
      <c r="C871" s="3450"/>
      <c r="D871" s="3450"/>
      <c r="E871" s="3450"/>
      <c r="F871" s="3450"/>
      <c r="G871" s="3450"/>
    </row>
    <row r="872" spans="1:7" x14ac:dyDescent="0.3">
      <c r="A872" s="11" t="s">
        <v>6354</v>
      </c>
      <c r="B872" s="11" t="s">
        <v>6355</v>
      </c>
      <c r="C872" s="820">
        <v>1015</v>
      </c>
      <c r="D872" s="820">
        <v>318533</v>
      </c>
      <c r="E872" s="821">
        <v>1.06696404864915E-9</v>
      </c>
      <c r="F872" s="822">
        <v>100</v>
      </c>
      <c r="G872" s="823">
        <v>1.45362315675074E-14</v>
      </c>
    </row>
    <row r="873" spans="1:7" x14ac:dyDescent="0.3">
      <c r="A873" s="6" t="s">
        <v>6354</v>
      </c>
      <c r="B873" s="6" t="s">
        <v>6356</v>
      </c>
      <c r="C873" s="816">
        <v>1015</v>
      </c>
      <c r="D873" s="816">
        <v>318533</v>
      </c>
      <c r="E873" s="817">
        <v>0</v>
      </c>
      <c r="F873" s="818">
        <v>100</v>
      </c>
      <c r="G873" s="819">
        <v>0</v>
      </c>
    </row>
    <row r="874" spans="1:7" x14ac:dyDescent="0.3">
      <c r="A874" s="3449" t="s">
        <v>330</v>
      </c>
      <c r="B874" s="3450"/>
      <c r="C874" s="3450"/>
      <c r="D874" s="3450"/>
      <c r="E874" s="3450"/>
      <c r="F874" s="3450"/>
      <c r="G874" s="3450"/>
    </row>
    <row r="875" spans="1:7" x14ac:dyDescent="0.3">
      <c r="A875" s="11" t="s">
        <v>6354</v>
      </c>
      <c r="B875" s="11" t="s">
        <v>6355</v>
      </c>
      <c r="C875" s="828">
        <v>1039</v>
      </c>
      <c r="D875" s="828">
        <v>318533</v>
      </c>
      <c r="E875" s="829">
        <v>1.06696404864915E-9</v>
      </c>
      <c r="F875" s="830">
        <v>100</v>
      </c>
      <c r="G875" s="831">
        <v>1.45362315675074E-14</v>
      </c>
    </row>
    <row r="876" spans="1:7" x14ac:dyDescent="0.3">
      <c r="A876" s="6" t="s">
        <v>6354</v>
      </c>
      <c r="B876" s="6" t="s">
        <v>6356</v>
      </c>
      <c r="C876" s="824">
        <v>1039</v>
      </c>
      <c r="D876" s="824">
        <v>318533</v>
      </c>
      <c r="E876" s="825">
        <v>0</v>
      </c>
      <c r="F876" s="826">
        <v>100</v>
      </c>
      <c r="G876" s="827">
        <v>0</v>
      </c>
    </row>
    <row r="877" spans="1:7" x14ac:dyDescent="0.3">
      <c r="A877" s="3449" t="s">
        <v>334</v>
      </c>
      <c r="B877" s="3450"/>
      <c r="C877" s="3450"/>
      <c r="D877" s="3450"/>
      <c r="E877" s="3450"/>
      <c r="F877" s="3450"/>
      <c r="G877" s="3450"/>
    </row>
    <row r="878" spans="1:7" x14ac:dyDescent="0.3">
      <c r="A878" s="11" t="s">
        <v>6354</v>
      </c>
      <c r="B878" s="11" t="s">
        <v>6355</v>
      </c>
      <c r="C878" s="836">
        <v>1039</v>
      </c>
      <c r="D878" s="836">
        <v>318533</v>
      </c>
      <c r="E878" s="837">
        <v>1.06696404864915E-9</v>
      </c>
      <c r="F878" s="838">
        <v>100</v>
      </c>
      <c r="G878" s="839">
        <v>1.45362315675074E-14</v>
      </c>
    </row>
    <row r="879" spans="1:7" x14ac:dyDescent="0.3">
      <c r="A879" s="6" t="s">
        <v>6354</v>
      </c>
      <c r="B879" s="6" t="s">
        <v>6356</v>
      </c>
      <c r="C879" s="832">
        <v>1039</v>
      </c>
      <c r="D879" s="832">
        <v>318533</v>
      </c>
      <c r="E879" s="833">
        <v>0</v>
      </c>
      <c r="F879" s="834">
        <v>100</v>
      </c>
      <c r="G879" s="835">
        <v>0</v>
      </c>
    </row>
    <row r="880" spans="1:7" x14ac:dyDescent="0.3">
      <c r="A880" s="3449" t="s">
        <v>338</v>
      </c>
      <c r="B880" s="3450"/>
      <c r="C880" s="3450"/>
      <c r="D880" s="3450"/>
      <c r="E880" s="3450"/>
      <c r="F880" s="3450"/>
      <c r="G880" s="3450"/>
    </row>
    <row r="881" spans="1:7" x14ac:dyDescent="0.3">
      <c r="A881" s="11" t="s">
        <v>6354</v>
      </c>
      <c r="B881" s="11" t="s">
        <v>6355</v>
      </c>
      <c r="C881" s="844">
        <v>1039</v>
      </c>
      <c r="D881" s="844">
        <v>318533</v>
      </c>
      <c r="E881" s="845">
        <v>1.06696404864915E-9</v>
      </c>
      <c r="F881" s="846">
        <v>100</v>
      </c>
      <c r="G881" s="847">
        <v>1.45362315675074E-14</v>
      </c>
    </row>
    <row r="882" spans="1:7" x14ac:dyDescent="0.3">
      <c r="A882" s="6" t="s">
        <v>6354</v>
      </c>
      <c r="B882" s="6" t="s">
        <v>6356</v>
      </c>
      <c r="C882" s="840">
        <v>1039</v>
      </c>
      <c r="D882" s="840">
        <v>318533</v>
      </c>
      <c r="E882" s="841">
        <v>0</v>
      </c>
      <c r="F882" s="842">
        <v>100</v>
      </c>
      <c r="G882" s="843">
        <v>0</v>
      </c>
    </row>
    <row r="883" spans="1:7" x14ac:dyDescent="0.3">
      <c r="A883" s="3449" t="s">
        <v>342</v>
      </c>
      <c r="B883" s="3450"/>
      <c r="C883" s="3450"/>
      <c r="D883" s="3450"/>
      <c r="E883" s="3450"/>
      <c r="F883" s="3450"/>
      <c r="G883" s="3450"/>
    </row>
    <row r="884" spans="1:7" x14ac:dyDescent="0.3">
      <c r="A884" s="11" t="s">
        <v>6354</v>
      </c>
      <c r="B884" s="11" t="s">
        <v>6355</v>
      </c>
      <c r="C884" s="852">
        <v>1039</v>
      </c>
      <c r="D884" s="852">
        <v>318533</v>
      </c>
      <c r="E884" s="853">
        <v>1.06696404864915E-9</v>
      </c>
      <c r="F884" s="854">
        <v>100</v>
      </c>
      <c r="G884" s="855">
        <v>1.45362315675074E-14</v>
      </c>
    </row>
    <row r="885" spans="1:7" x14ac:dyDescent="0.3">
      <c r="A885" s="6" t="s">
        <v>6354</v>
      </c>
      <c r="B885" s="6" t="s">
        <v>6356</v>
      </c>
      <c r="C885" s="848">
        <v>1039</v>
      </c>
      <c r="D885" s="848">
        <v>318533</v>
      </c>
      <c r="E885" s="849">
        <v>0</v>
      </c>
      <c r="F885" s="850">
        <v>100</v>
      </c>
      <c r="G885" s="851">
        <v>0</v>
      </c>
    </row>
    <row r="886" spans="1:7" x14ac:dyDescent="0.3">
      <c r="A886" s="3449" t="s">
        <v>652</v>
      </c>
      <c r="B886" s="3450"/>
      <c r="C886" s="3450"/>
      <c r="D886" s="3450"/>
      <c r="E886" s="3450"/>
      <c r="F886" s="3450"/>
      <c r="G886" s="3450"/>
    </row>
    <row r="887" spans="1:7" x14ac:dyDescent="0.3">
      <c r="A887" s="11" t="s">
        <v>1023</v>
      </c>
      <c r="B887" s="11" t="s">
        <v>1107</v>
      </c>
      <c r="C887" s="860">
        <v>1047</v>
      </c>
      <c r="D887" s="860">
        <v>318254.402259733</v>
      </c>
      <c r="E887" s="861">
        <v>219.78817262733699</v>
      </c>
      <c r="F887" s="862">
        <v>99.912537244094906</v>
      </c>
      <c r="G887" s="863">
        <v>6.9000126400431502E-2</v>
      </c>
    </row>
    <row r="888" spans="1:7" x14ac:dyDescent="0.3">
      <c r="A888" s="6" t="s">
        <v>1021</v>
      </c>
      <c r="B888" s="6" t="s">
        <v>1106</v>
      </c>
      <c r="C888" s="856">
        <v>2</v>
      </c>
      <c r="D888" s="856">
        <v>278.597740267061</v>
      </c>
      <c r="E888" s="857">
        <v>219.78817262708799</v>
      </c>
      <c r="F888" s="858">
        <v>8.7462755905059003E-2</v>
      </c>
      <c r="G888" s="859">
        <v>6.9000126400431905E-2</v>
      </c>
    </row>
    <row r="889" spans="1:7" x14ac:dyDescent="0.3">
      <c r="A889" s="11" t="s">
        <v>6354</v>
      </c>
      <c r="B889" s="11" t="s">
        <v>6355</v>
      </c>
      <c r="C889" s="860">
        <v>1049</v>
      </c>
      <c r="D889" s="860">
        <v>318533</v>
      </c>
      <c r="E889" s="861">
        <v>2.4112308371355701E-9</v>
      </c>
      <c r="F889" s="862">
        <v>100</v>
      </c>
      <c r="G889" s="863">
        <v>2.0557335828564899E-14</v>
      </c>
    </row>
    <row r="890" spans="1:7" x14ac:dyDescent="0.3">
      <c r="A890" s="6" t="s">
        <v>6354</v>
      </c>
      <c r="B890" s="6" t="s">
        <v>6356</v>
      </c>
      <c r="C890" s="856">
        <v>1049</v>
      </c>
      <c r="D890" s="856">
        <v>318533</v>
      </c>
      <c r="E890" s="857">
        <v>0</v>
      </c>
      <c r="F890" s="858">
        <v>100</v>
      </c>
      <c r="G890" s="859">
        <v>0</v>
      </c>
    </row>
    <row r="891" spans="1:7" x14ac:dyDescent="0.3">
      <c r="A891" s="3449" t="s">
        <v>924</v>
      </c>
      <c r="B891" s="3450"/>
      <c r="C891" s="3450"/>
      <c r="D891" s="3450"/>
      <c r="E891" s="3450"/>
      <c r="F891" s="3450"/>
      <c r="G891" s="3450"/>
    </row>
    <row r="892" spans="1:7" x14ac:dyDescent="0.3">
      <c r="A892" s="11" t="s">
        <v>1021</v>
      </c>
      <c r="B892" s="11" t="s">
        <v>1108</v>
      </c>
      <c r="C892" s="868">
        <v>901</v>
      </c>
      <c r="D892" s="868">
        <v>285839.20599267801</v>
      </c>
      <c r="E892" s="869">
        <v>4246.1599015908896</v>
      </c>
      <c r="F892" s="870">
        <v>90.048499628959803</v>
      </c>
      <c r="G892" s="871">
        <v>1.36893787444399</v>
      </c>
    </row>
    <row r="893" spans="1:7" x14ac:dyDescent="0.3">
      <c r="A893" s="6" t="s">
        <v>1023</v>
      </c>
      <c r="B893" s="6" t="s">
        <v>1109</v>
      </c>
      <c r="C893" s="864">
        <v>44</v>
      </c>
      <c r="D893" s="864">
        <v>12519.0821470221</v>
      </c>
      <c r="E893" s="865">
        <v>2640.6985240236399</v>
      </c>
      <c r="F893" s="866">
        <v>3.9439116133701799</v>
      </c>
      <c r="G893" s="867">
        <v>0.82830448610055896</v>
      </c>
    </row>
    <row r="894" spans="1:7" x14ac:dyDescent="0.3">
      <c r="A894" s="11" t="s">
        <v>1029</v>
      </c>
      <c r="B894" s="11" t="s">
        <v>1091</v>
      </c>
      <c r="C894" s="868">
        <v>67</v>
      </c>
      <c r="D894" s="868">
        <v>10398.5471124254</v>
      </c>
      <c r="E894" s="869">
        <v>1924.7583533663701</v>
      </c>
      <c r="F894" s="870">
        <v>3.2758751989359598</v>
      </c>
      <c r="G894" s="871">
        <v>0.60527327805167697</v>
      </c>
    </row>
    <row r="895" spans="1:7" x14ac:dyDescent="0.3">
      <c r="A895" s="6" t="s">
        <v>1025</v>
      </c>
      <c r="B895" s="6" t="s">
        <v>6207</v>
      </c>
      <c r="C895" s="864">
        <v>20</v>
      </c>
      <c r="D895" s="864">
        <v>5451.4680740035701</v>
      </c>
      <c r="E895" s="865">
        <v>2069.1988469869302</v>
      </c>
      <c r="F895" s="866">
        <v>1.7173869453435699</v>
      </c>
      <c r="G895" s="867">
        <v>0.65088139074943896</v>
      </c>
    </row>
    <row r="896" spans="1:7" x14ac:dyDescent="0.3">
      <c r="A896" s="11" t="s">
        <v>1027</v>
      </c>
      <c r="B896" s="11" t="s">
        <v>6208</v>
      </c>
      <c r="C896" s="868">
        <v>13</v>
      </c>
      <c r="D896" s="868">
        <v>3219.7572972723701</v>
      </c>
      <c r="E896" s="869">
        <v>1018.3097145485</v>
      </c>
      <c r="F896" s="870">
        <v>1.01432661339046</v>
      </c>
      <c r="G896" s="871">
        <v>0.32223679001210098</v>
      </c>
    </row>
    <row r="897" spans="1:7" x14ac:dyDescent="0.3">
      <c r="A897" s="6" t="s">
        <v>1019</v>
      </c>
      <c r="B897" s="6" t="s">
        <v>1020</v>
      </c>
      <c r="C897" s="864">
        <v>4</v>
      </c>
      <c r="D897" s="864">
        <v>1104.9393765979701</v>
      </c>
      <c r="E897" s="865">
        <v>817.975464967074</v>
      </c>
      <c r="F897" s="866">
        <v>100</v>
      </c>
      <c r="G897" s="867">
        <v>0</v>
      </c>
    </row>
    <row r="898" spans="1:7" x14ac:dyDescent="0.3">
      <c r="A898" s="11" t="s">
        <v>6354</v>
      </c>
      <c r="B898" s="11" t="s">
        <v>6355</v>
      </c>
      <c r="C898" s="868">
        <v>1045</v>
      </c>
      <c r="D898" s="868">
        <v>317428.06062340201</v>
      </c>
      <c r="E898" s="869">
        <v>817.97546496689301</v>
      </c>
      <c r="F898" s="870">
        <v>99.6531161993897</v>
      </c>
      <c r="G898" s="871">
        <v>0.256794575433962</v>
      </c>
    </row>
    <row r="899" spans="1:7" x14ac:dyDescent="0.3">
      <c r="A899" s="6" t="s">
        <v>6354</v>
      </c>
      <c r="B899" s="6" t="s">
        <v>6356</v>
      </c>
      <c r="C899" s="864">
        <v>1049</v>
      </c>
      <c r="D899" s="864">
        <v>318533</v>
      </c>
      <c r="E899" s="865">
        <v>0</v>
      </c>
      <c r="F899" s="866">
        <v>100</v>
      </c>
      <c r="G899" s="867">
        <v>0</v>
      </c>
    </row>
    <row r="900" spans="1:7" x14ac:dyDescent="0.3">
      <c r="A900" s="3449" t="s">
        <v>654</v>
      </c>
      <c r="B900" s="3450"/>
      <c r="C900" s="3450"/>
      <c r="D900" s="3450"/>
      <c r="E900" s="3450"/>
      <c r="F900" s="3450"/>
      <c r="G900" s="3450"/>
    </row>
    <row r="901" spans="1:7" x14ac:dyDescent="0.3">
      <c r="A901" s="11" t="s">
        <v>1029</v>
      </c>
      <c r="B901" s="11" t="s">
        <v>319</v>
      </c>
      <c r="C901" s="876">
        <v>1049</v>
      </c>
      <c r="D901" s="876">
        <v>318533</v>
      </c>
      <c r="E901" s="877">
        <v>2.4423447799150501E-9</v>
      </c>
      <c r="F901" s="878">
        <v>100</v>
      </c>
      <c r="G901" s="879">
        <v>0</v>
      </c>
    </row>
    <row r="902" spans="1:7" x14ac:dyDescent="0.3">
      <c r="A902" s="6" t="s">
        <v>6354</v>
      </c>
      <c r="B902" s="6" t="s">
        <v>6355</v>
      </c>
      <c r="C902" s="872">
        <v>1049</v>
      </c>
      <c r="D902" s="872">
        <v>318533</v>
      </c>
      <c r="E902" s="873">
        <v>2.4423447799150501E-9</v>
      </c>
      <c r="F902" s="874">
        <v>100</v>
      </c>
      <c r="G902" s="875">
        <v>0</v>
      </c>
    </row>
    <row r="903" spans="1:7" x14ac:dyDescent="0.3">
      <c r="A903" s="11" t="s">
        <v>6354</v>
      </c>
      <c r="B903" s="11" t="s">
        <v>6356</v>
      </c>
      <c r="C903" s="876">
        <v>1049</v>
      </c>
      <c r="D903" s="876">
        <v>318533</v>
      </c>
      <c r="E903" s="877">
        <v>0</v>
      </c>
      <c r="F903" s="878">
        <v>100</v>
      </c>
      <c r="G903" s="879">
        <v>0</v>
      </c>
    </row>
    <row r="904" spans="1:7" x14ac:dyDescent="0.3">
      <c r="A904" s="3449" t="s">
        <v>311</v>
      </c>
      <c r="B904" s="3450"/>
      <c r="C904" s="3450"/>
      <c r="D904" s="3450"/>
      <c r="E904" s="3450"/>
      <c r="F904" s="3450"/>
      <c r="G904" s="3450"/>
    </row>
    <row r="905" spans="1:7" x14ac:dyDescent="0.3">
      <c r="A905" s="11" t="s">
        <v>1021</v>
      </c>
      <c r="B905" s="11"/>
      <c r="C905" s="884">
        <v>833</v>
      </c>
      <c r="D905" s="884">
        <v>198910.58179706801</v>
      </c>
      <c r="E905" s="885">
        <v>1.7975535049204201</v>
      </c>
      <c r="F905" s="886">
        <v>62.445831922302602</v>
      </c>
      <c r="G905" s="887">
        <v>5.6432253656418796E-4</v>
      </c>
    </row>
    <row r="906" spans="1:7" x14ac:dyDescent="0.3">
      <c r="A906" s="6" t="s">
        <v>1023</v>
      </c>
      <c r="B906" s="6"/>
      <c r="C906" s="880">
        <v>211</v>
      </c>
      <c r="D906" s="880">
        <v>117653.02431334701</v>
      </c>
      <c r="E906" s="881">
        <v>1424.3638288289401</v>
      </c>
      <c r="F906" s="882">
        <v>36.935898105799701</v>
      </c>
      <c r="G906" s="883">
        <v>0.44716366242397698</v>
      </c>
    </row>
    <row r="907" spans="1:7" x14ac:dyDescent="0.3">
      <c r="A907" s="11" t="s">
        <v>1052</v>
      </c>
      <c r="B907" s="11"/>
      <c r="C907" s="884">
        <v>5</v>
      </c>
      <c r="D907" s="884">
        <v>1969.3938895850399</v>
      </c>
      <c r="E907" s="885">
        <v>1424.39146792203</v>
      </c>
      <c r="F907" s="886">
        <v>0.61826997189774502</v>
      </c>
      <c r="G907" s="887">
        <v>0.44717233941916001</v>
      </c>
    </row>
    <row r="908" spans="1:7" x14ac:dyDescent="0.3">
      <c r="A908" s="6" t="s">
        <v>6354</v>
      </c>
      <c r="B908" s="6" t="s">
        <v>6355</v>
      </c>
      <c r="C908" s="880">
        <v>1049</v>
      </c>
      <c r="D908" s="880">
        <v>318533</v>
      </c>
      <c r="E908" s="881">
        <v>1.2217667790849401E-9</v>
      </c>
      <c r="F908" s="882">
        <v>100</v>
      </c>
      <c r="G908" s="883">
        <v>3.0836003742847398E-14</v>
      </c>
    </row>
    <row r="909" spans="1:7" x14ac:dyDescent="0.3">
      <c r="A909" s="11" t="s">
        <v>6354</v>
      </c>
      <c r="B909" s="11" t="s">
        <v>6356</v>
      </c>
      <c r="C909" s="884">
        <v>1049</v>
      </c>
      <c r="D909" s="884">
        <v>318533</v>
      </c>
      <c r="E909" s="885">
        <v>0</v>
      </c>
      <c r="F909" s="886">
        <v>100</v>
      </c>
      <c r="G909" s="887">
        <v>0</v>
      </c>
    </row>
    <row r="910" spans="1:7" x14ac:dyDescent="0.3">
      <c r="A910" s="3451" t="s">
        <v>1014</v>
      </c>
      <c r="B910" s="3450"/>
      <c r="C910" s="3450"/>
      <c r="D910" s="3450"/>
      <c r="E910" s="3450"/>
      <c r="F910" s="3450"/>
      <c r="G910" s="3450"/>
    </row>
    <row r="911" spans="1:7" x14ac:dyDescent="0.3">
      <c r="A911" s="3449" t="s">
        <v>320</v>
      </c>
      <c r="B911" s="3450"/>
      <c r="C911" s="3450"/>
      <c r="D911" s="3450"/>
      <c r="E911" s="3450"/>
      <c r="F911" s="3450"/>
      <c r="G911" s="3450"/>
    </row>
    <row r="912" spans="1:7" x14ac:dyDescent="0.3">
      <c r="A912" s="11" t="s">
        <v>6354</v>
      </c>
      <c r="B912" s="11" t="s">
        <v>6355</v>
      </c>
      <c r="C912" s="892">
        <v>1871</v>
      </c>
      <c r="D912" s="892">
        <v>817563</v>
      </c>
      <c r="E912" s="893">
        <v>3.18816489019179E-9</v>
      </c>
      <c r="F912" s="894">
        <v>100</v>
      </c>
      <c r="G912" s="895">
        <v>2.0557335828564899E-14</v>
      </c>
    </row>
    <row r="913" spans="1:7" x14ac:dyDescent="0.3">
      <c r="A913" s="6" t="s">
        <v>6354</v>
      </c>
      <c r="B913" s="6" t="s">
        <v>6356</v>
      </c>
      <c r="C913" s="888">
        <v>1871</v>
      </c>
      <c r="D913" s="888">
        <v>817563</v>
      </c>
      <c r="E913" s="889">
        <v>0</v>
      </c>
      <c r="F913" s="890">
        <v>100</v>
      </c>
      <c r="G913" s="891">
        <v>0</v>
      </c>
    </row>
    <row r="914" spans="1:7" x14ac:dyDescent="0.3">
      <c r="A914" s="3449" t="s">
        <v>527</v>
      </c>
      <c r="B914" s="3450"/>
      <c r="C914" s="3450"/>
      <c r="D914" s="3450"/>
      <c r="E914" s="3450"/>
      <c r="F914" s="3450"/>
      <c r="G914" s="3450"/>
    </row>
    <row r="915" spans="1:7" x14ac:dyDescent="0.3">
      <c r="A915" s="11" t="s">
        <v>1021</v>
      </c>
      <c r="B915" s="11"/>
      <c r="C915" s="900">
        <v>1049</v>
      </c>
      <c r="D915" s="900">
        <v>314663.00163558498</v>
      </c>
      <c r="E915" s="901">
        <v>3794.53262883967</v>
      </c>
      <c r="F915" s="902">
        <v>38.487921008605397</v>
      </c>
      <c r="G915" s="903">
        <v>0.464127245097881</v>
      </c>
    </row>
    <row r="916" spans="1:7" x14ac:dyDescent="0.3">
      <c r="A916" s="6" t="s">
        <v>1023</v>
      </c>
      <c r="B916" s="6"/>
      <c r="C916" s="896">
        <v>714</v>
      </c>
      <c r="D916" s="896">
        <v>240519.16739026899</v>
      </c>
      <c r="E916" s="897">
        <v>5115.21462779595</v>
      </c>
      <c r="F916" s="898">
        <v>29.4190377243428</v>
      </c>
      <c r="G916" s="899">
        <v>0.62566611108818204</v>
      </c>
    </row>
    <row r="917" spans="1:7" x14ac:dyDescent="0.3">
      <c r="A917" s="11" t="s">
        <v>1025</v>
      </c>
      <c r="B917" s="11"/>
      <c r="C917" s="900">
        <v>276</v>
      </c>
      <c r="D917" s="900">
        <v>140858.89430782301</v>
      </c>
      <c r="E917" s="901">
        <v>4590.1554029964</v>
      </c>
      <c r="F917" s="902">
        <v>17.2291180383436</v>
      </c>
      <c r="G917" s="903">
        <v>0.56144363223341098</v>
      </c>
    </row>
    <row r="918" spans="1:7" x14ac:dyDescent="0.3">
      <c r="A918" s="6" t="s">
        <v>1027</v>
      </c>
      <c r="B918" s="6"/>
      <c r="C918" s="896">
        <v>149</v>
      </c>
      <c r="D918" s="896">
        <v>79050.935371819694</v>
      </c>
      <c r="E918" s="897">
        <v>2457.66629879927</v>
      </c>
      <c r="F918" s="898">
        <v>9.6690940480207193</v>
      </c>
      <c r="G918" s="899">
        <v>0.30060879697335902</v>
      </c>
    </row>
    <row r="919" spans="1:7" x14ac:dyDescent="0.3">
      <c r="A919" s="11" t="s">
        <v>1029</v>
      </c>
      <c r="B919" s="11"/>
      <c r="C919" s="900">
        <v>62</v>
      </c>
      <c r="D919" s="900">
        <v>31421.269429550899</v>
      </c>
      <c r="E919" s="901">
        <v>3341.9253901360298</v>
      </c>
      <c r="F919" s="902">
        <v>3.8432841786566798</v>
      </c>
      <c r="G919" s="903">
        <v>0.40876671157281502</v>
      </c>
    </row>
    <row r="920" spans="1:7" x14ac:dyDescent="0.3">
      <c r="A920" s="6" t="s">
        <v>1031</v>
      </c>
      <c r="B920" s="6"/>
      <c r="C920" s="896">
        <v>18</v>
      </c>
      <c r="D920" s="896">
        <v>8562.1035069161098</v>
      </c>
      <c r="E920" s="897">
        <v>3001.2182580567401</v>
      </c>
      <c r="F920" s="898">
        <v>1.0472714037837001</v>
      </c>
      <c r="G920" s="899">
        <v>0.36709320970454101</v>
      </c>
    </row>
    <row r="921" spans="1:7" x14ac:dyDescent="0.3">
      <c r="A921" s="11" t="s">
        <v>1040</v>
      </c>
      <c r="B921" s="11"/>
      <c r="C921" s="900">
        <v>5</v>
      </c>
      <c r="D921" s="900">
        <v>2309.9826081024898</v>
      </c>
      <c r="E921" s="901">
        <v>1855.9006956716801</v>
      </c>
      <c r="F921" s="902">
        <v>0.28254490578738201</v>
      </c>
      <c r="G921" s="903">
        <v>0.22700399793920201</v>
      </c>
    </row>
    <row r="922" spans="1:7" x14ac:dyDescent="0.3">
      <c r="A922" s="6" t="s">
        <v>1042</v>
      </c>
      <c r="B922" s="6"/>
      <c r="C922" s="896">
        <v>1</v>
      </c>
      <c r="D922" s="896">
        <v>177.64574993437799</v>
      </c>
      <c r="E922" s="897">
        <v>181.82955171127099</v>
      </c>
      <c r="F922" s="898">
        <v>2.1728692459709899E-2</v>
      </c>
      <c r="G922" s="899">
        <v>2.2240433056690601E-2</v>
      </c>
    </row>
    <row r="923" spans="1:7" x14ac:dyDescent="0.3">
      <c r="A923" s="11" t="s">
        <v>6354</v>
      </c>
      <c r="B923" s="11" t="s">
        <v>6355</v>
      </c>
      <c r="C923" s="900">
        <v>2274</v>
      </c>
      <c r="D923" s="900">
        <v>817563</v>
      </c>
      <c r="E923" s="901">
        <v>1.9430251801299899E-9</v>
      </c>
      <c r="F923" s="902">
        <v>100</v>
      </c>
      <c r="G923" s="903">
        <v>1.02786679142825E-14</v>
      </c>
    </row>
    <row r="924" spans="1:7" x14ac:dyDescent="0.3">
      <c r="A924" s="6" t="s">
        <v>6354</v>
      </c>
      <c r="B924" s="6" t="s">
        <v>6356</v>
      </c>
      <c r="C924" s="896">
        <v>2274</v>
      </c>
      <c r="D924" s="896">
        <v>817563</v>
      </c>
      <c r="E924" s="897">
        <v>0</v>
      </c>
      <c r="F924" s="898">
        <v>100</v>
      </c>
      <c r="G924" s="899">
        <v>0</v>
      </c>
    </row>
    <row r="925" spans="1:7" x14ac:dyDescent="0.3">
      <c r="A925" s="3449" t="s">
        <v>525</v>
      </c>
      <c r="B925" s="3450"/>
      <c r="C925" s="3450"/>
      <c r="D925" s="3450"/>
      <c r="E925" s="3450"/>
      <c r="F925" s="3450"/>
      <c r="G925" s="3450"/>
    </row>
    <row r="926" spans="1:7" x14ac:dyDescent="0.3">
      <c r="A926" s="11" t="s">
        <v>6354</v>
      </c>
      <c r="B926" s="11" t="s">
        <v>6355</v>
      </c>
      <c r="C926" s="908">
        <v>2223</v>
      </c>
      <c r="D926" s="908">
        <v>817563</v>
      </c>
      <c r="E926" s="909">
        <v>3.1753866227776402E-9</v>
      </c>
      <c r="F926" s="910">
        <v>100</v>
      </c>
      <c r="G926" s="911">
        <v>1.45362315675074E-14</v>
      </c>
    </row>
    <row r="927" spans="1:7" x14ac:dyDescent="0.3">
      <c r="A927" s="6" t="s">
        <v>6354</v>
      </c>
      <c r="B927" s="6" t="s">
        <v>6356</v>
      </c>
      <c r="C927" s="904">
        <v>2223</v>
      </c>
      <c r="D927" s="904">
        <v>817563</v>
      </c>
      <c r="E927" s="905">
        <v>0</v>
      </c>
      <c r="F927" s="906">
        <v>100</v>
      </c>
      <c r="G927" s="907">
        <v>0</v>
      </c>
    </row>
    <row r="928" spans="1:7" x14ac:dyDescent="0.3">
      <c r="A928" s="3449" t="s">
        <v>589</v>
      </c>
      <c r="B928" s="3450"/>
      <c r="C928" s="3450"/>
      <c r="D928" s="3450"/>
      <c r="E928" s="3450"/>
      <c r="F928" s="3450"/>
      <c r="G928" s="3450"/>
    </row>
    <row r="929" spans="1:7" x14ac:dyDescent="0.3">
      <c r="A929" s="11" t="s">
        <v>1067</v>
      </c>
      <c r="B929" s="11"/>
      <c r="C929" s="916">
        <v>30</v>
      </c>
      <c r="D929" s="916">
        <v>19347.736425391398</v>
      </c>
      <c r="E929" s="917">
        <v>3549.1791025389498</v>
      </c>
      <c r="F929" s="918">
        <v>2.37537578511215</v>
      </c>
      <c r="G929" s="919">
        <v>0.430689784580922</v>
      </c>
    </row>
    <row r="930" spans="1:7" x14ac:dyDescent="0.3">
      <c r="A930" s="6" t="s">
        <v>3114</v>
      </c>
      <c r="B930" s="6"/>
      <c r="C930" s="912">
        <v>28</v>
      </c>
      <c r="D930" s="912">
        <v>17781.913930094299</v>
      </c>
      <c r="E930" s="913">
        <v>3145.0025486260001</v>
      </c>
      <c r="F930" s="914">
        <v>2.1831353722113702</v>
      </c>
      <c r="G930" s="915">
        <v>0.38402381187293599</v>
      </c>
    </row>
    <row r="931" spans="1:7" x14ac:dyDescent="0.3">
      <c r="A931" s="11" t="s">
        <v>6365</v>
      </c>
      <c r="B931" s="11"/>
      <c r="C931" s="916">
        <v>24</v>
      </c>
      <c r="D931" s="916">
        <v>16598.158291552802</v>
      </c>
      <c r="E931" s="917">
        <v>6892.6039171490202</v>
      </c>
      <c r="F931" s="918">
        <v>2.0378023773091298</v>
      </c>
      <c r="G931" s="919">
        <v>0.84553905483714398</v>
      </c>
    </row>
    <row r="932" spans="1:7" x14ac:dyDescent="0.3">
      <c r="A932" s="6" t="s">
        <v>3105</v>
      </c>
      <c r="B932" s="6"/>
      <c r="C932" s="912">
        <v>26</v>
      </c>
      <c r="D932" s="912">
        <v>16570.701831685601</v>
      </c>
      <c r="E932" s="913">
        <v>3624.4855929565701</v>
      </c>
      <c r="F932" s="914">
        <v>2.0344314708382401</v>
      </c>
      <c r="G932" s="915">
        <v>0.441905618318987</v>
      </c>
    </row>
    <row r="933" spans="1:7" x14ac:dyDescent="0.3">
      <c r="A933" s="11" t="s">
        <v>1230</v>
      </c>
      <c r="B933" s="11"/>
      <c r="C933" s="916">
        <v>47</v>
      </c>
      <c r="D933" s="916">
        <v>15425.8336590161</v>
      </c>
      <c r="E933" s="917">
        <v>2312.9847294003998</v>
      </c>
      <c r="F933" s="918">
        <v>1.89387279902712</v>
      </c>
      <c r="G933" s="919">
        <v>0.28726480260931198</v>
      </c>
    </row>
    <row r="934" spans="1:7" x14ac:dyDescent="0.3">
      <c r="A934" s="6" t="s">
        <v>1118</v>
      </c>
      <c r="B934" s="6"/>
      <c r="C934" s="912">
        <v>18</v>
      </c>
      <c r="D934" s="912">
        <v>15090.6875074778</v>
      </c>
      <c r="E934" s="913">
        <v>2780.10485131632</v>
      </c>
      <c r="F934" s="914">
        <v>1.8527259674115699</v>
      </c>
      <c r="G934" s="915">
        <v>0.34145836639152699</v>
      </c>
    </row>
    <row r="935" spans="1:7" x14ac:dyDescent="0.3">
      <c r="A935" s="11" t="s">
        <v>6358</v>
      </c>
      <c r="B935" s="11"/>
      <c r="C935" s="916">
        <v>24</v>
      </c>
      <c r="D935" s="916">
        <v>15027.7215767207</v>
      </c>
      <c r="E935" s="917">
        <v>4081.1754154364498</v>
      </c>
      <c r="F935" s="918">
        <v>1.84499546375372</v>
      </c>
      <c r="G935" s="919">
        <v>0.49989741914264002</v>
      </c>
    </row>
    <row r="936" spans="1:7" x14ac:dyDescent="0.3">
      <c r="A936" s="6" t="s">
        <v>3130</v>
      </c>
      <c r="B936" s="6"/>
      <c r="C936" s="912">
        <v>42</v>
      </c>
      <c r="D936" s="912">
        <v>14984.723190546199</v>
      </c>
      <c r="E936" s="913">
        <v>4102.5012473248498</v>
      </c>
      <c r="F936" s="914">
        <v>1.83971643146425</v>
      </c>
      <c r="G936" s="915">
        <v>0.50130520681360902</v>
      </c>
    </row>
    <row r="937" spans="1:7" x14ac:dyDescent="0.3">
      <c r="A937" s="11" t="s">
        <v>1126</v>
      </c>
      <c r="B937" s="11"/>
      <c r="C937" s="916">
        <v>26</v>
      </c>
      <c r="D937" s="916">
        <v>14980.4192396579</v>
      </c>
      <c r="E937" s="917">
        <v>2879.6468238010798</v>
      </c>
      <c r="F937" s="918">
        <v>1.83918802336029</v>
      </c>
      <c r="G937" s="919">
        <v>0.35330440947297098</v>
      </c>
    </row>
    <row r="938" spans="1:7" x14ac:dyDescent="0.3">
      <c r="A938" s="6" t="s">
        <v>6362</v>
      </c>
      <c r="B938" s="6"/>
      <c r="C938" s="912">
        <v>18</v>
      </c>
      <c r="D938" s="912">
        <v>14763.113846254601</v>
      </c>
      <c r="E938" s="913">
        <v>3100.7499769648098</v>
      </c>
      <c r="F938" s="914">
        <v>1.81250883163909</v>
      </c>
      <c r="G938" s="915">
        <v>0.38284608964394601</v>
      </c>
    </row>
    <row r="939" spans="1:7" x14ac:dyDescent="0.3">
      <c r="A939" s="11" t="s">
        <v>3099</v>
      </c>
      <c r="B939" s="11"/>
      <c r="C939" s="916">
        <v>23</v>
      </c>
      <c r="D939" s="916">
        <v>14649.975173786701</v>
      </c>
      <c r="E939" s="917">
        <v>2852.1261734863201</v>
      </c>
      <c r="F939" s="918">
        <v>1.7986184799704901</v>
      </c>
      <c r="G939" s="919">
        <v>0.35218034393042502</v>
      </c>
    </row>
    <row r="940" spans="1:7" x14ac:dyDescent="0.3">
      <c r="A940" s="6" t="s">
        <v>1224</v>
      </c>
      <c r="B940" s="6"/>
      <c r="C940" s="912">
        <v>32</v>
      </c>
      <c r="D940" s="912">
        <v>14302.0317330575</v>
      </c>
      <c r="E940" s="913">
        <v>2447.4643250874301</v>
      </c>
      <c r="F940" s="914">
        <v>1.7559004893216199</v>
      </c>
      <c r="G940" s="915">
        <v>0.30294086217747801</v>
      </c>
    </row>
    <row r="941" spans="1:7" x14ac:dyDescent="0.3">
      <c r="A941" s="11" t="s">
        <v>6359</v>
      </c>
      <c r="B941" s="11"/>
      <c r="C941" s="916">
        <v>21</v>
      </c>
      <c r="D941" s="916">
        <v>13727.9304902154</v>
      </c>
      <c r="E941" s="917">
        <v>3143.6444362571201</v>
      </c>
      <c r="F941" s="918">
        <v>1.68541647194271</v>
      </c>
      <c r="G941" s="919">
        <v>0.38506164642204899</v>
      </c>
    </row>
    <row r="942" spans="1:7" x14ac:dyDescent="0.3">
      <c r="A942" s="6" t="s">
        <v>1148</v>
      </c>
      <c r="B942" s="6"/>
      <c r="C942" s="912">
        <v>48</v>
      </c>
      <c r="D942" s="912">
        <v>12987.473477752899</v>
      </c>
      <c r="E942" s="913">
        <v>1975.38081600583</v>
      </c>
      <c r="F942" s="914">
        <v>1.5945084908410201</v>
      </c>
      <c r="G942" s="915">
        <v>0.24300527694427801</v>
      </c>
    </row>
    <row r="943" spans="1:7" x14ac:dyDescent="0.3">
      <c r="A943" s="11" t="s">
        <v>3101</v>
      </c>
      <c r="B943" s="11"/>
      <c r="C943" s="916">
        <v>17</v>
      </c>
      <c r="D943" s="916">
        <v>12609.546012409</v>
      </c>
      <c r="E943" s="917">
        <v>3540.5460159364602</v>
      </c>
      <c r="F943" s="918">
        <v>1.54810927751865</v>
      </c>
      <c r="G943" s="919">
        <v>0.43687215424994902</v>
      </c>
    </row>
    <row r="944" spans="1:7" x14ac:dyDescent="0.3">
      <c r="A944" s="6" t="s">
        <v>1077</v>
      </c>
      <c r="B944" s="6"/>
      <c r="C944" s="912">
        <v>29</v>
      </c>
      <c r="D944" s="912">
        <v>12595.496181414899</v>
      </c>
      <c r="E944" s="913">
        <v>1833.50739854163</v>
      </c>
      <c r="F944" s="914">
        <v>1.5463843404203399</v>
      </c>
      <c r="G944" s="915">
        <v>0.22228476369271899</v>
      </c>
    </row>
    <row r="945" spans="1:7" x14ac:dyDescent="0.3">
      <c r="A945" s="11" t="s">
        <v>1142</v>
      </c>
      <c r="B945" s="11"/>
      <c r="C945" s="916">
        <v>33</v>
      </c>
      <c r="D945" s="916">
        <v>12566.2771884456</v>
      </c>
      <c r="E945" s="917">
        <v>2752.0810035509899</v>
      </c>
      <c r="F945" s="918">
        <v>1.54279704282445</v>
      </c>
      <c r="G945" s="919">
        <v>0.33709791485195201</v>
      </c>
    </row>
    <row r="946" spans="1:7" x14ac:dyDescent="0.3">
      <c r="A946" s="6" t="s">
        <v>3132</v>
      </c>
      <c r="B946" s="6"/>
      <c r="C946" s="912">
        <v>34</v>
      </c>
      <c r="D946" s="912">
        <v>12409.000628150299</v>
      </c>
      <c r="E946" s="913">
        <v>2541.6646044091999</v>
      </c>
      <c r="F946" s="914">
        <v>1.52348775905724</v>
      </c>
      <c r="G946" s="915">
        <v>0.30992804570716898</v>
      </c>
    </row>
    <row r="947" spans="1:7" x14ac:dyDescent="0.3">
      <c r="A947" s="11" t="s">
        <v>1226</v>
      </c>
      <c r="B947" s="11"/>
      <c r="C947" s="916">
        <v>23</v>
      </c>
      <c r="D947" s="916">
        <v>12377.567195031101</v>
      </c>
      <c r="E947" s="917">
        <v>2668.2716044660401</v>
      </c>
      <c r="F947" s="918">
        <v>1.51962858844253</v>
      </c>
      <c r="G947" s="919">
        <v>0.32927536648676398</v>
      </c>
    </row>
    <row r="948" spans="1:7" x14ac:dyDescent="0.3">
      <c r="A948" s="6" t="s">
        <v>1075</v>
      </c>
      <c r="B948" s="6"/>
      <c r="C948" s="912">
        <v>31</v>
      </c>
      <c r="D948" s="912">
        <v>12375.7926635899</v>
      </c>
      <c r="E948" s="913">
        <v>2551.5472204964799</v>
      </c>
      <c r="F948" s="914">
        <v>1.5194107242478301</v>
      </c>
      <c r="G948" s="915">
        <v>0.31276186955245699</v>
      </c>
    </row>
    <row r="949" spans="1:7" x14ac:dyDescent="0.3">
      <c r="A949" s="11" t="s">
        <v>1079</v>
      </c>
      <c r="B949" s="11"/>
      <c r="C949" s="916">
        <v>19</v>
      </c>
      <c r="D949" s="916">
        <v>12351.840398492301</v>
      </c>
      <c r="E949" s="917">
        <v>3658.1476952673102</v>
      </c>
      <c r="F949" s="918">
        <v>1.51647003758246</v>
      </c>
      <c r="G949" s="919">
        <v>0.44894548563491599</v>
      </c>
    </row>
    <row r="950" spans="1:7" x14ac:dyDescent="0.3">
      <c r="A950" s="6" t="s">
        <v>1144</v>
      </c>
      <c r="B950" s="6"/>
      <c r="C950" s="912">
        <v>33</v>
      </c>
      <c r="D950" s="912">
        <v>12330.7423867826</v>
      </c>
      <c r="E950" s="913">
        <v>4340.8620672359602</v>
      </c>
      <c r="F950" s="914">
        <v>1.5138797755989699</v>
      </c>
      <c r="G950" s="915">
        <v>0.53338250823768796</v>
      </c>
    </row>
    <row r="951" spans="1:7" x14ac:dyDescent="0.3">
      <c r="A951" s="11" t="s">
        <v>1146</v>
      </c>
      <c r="B951" s="11"/>
      <c r="C951" s="916">
        <v>40</v>
      </c>
      <c r="D951" s="916">
        <v>12268.3517878892</v>
      </c>
      <c r="E951" s="917">
        <v>3104.7477690735</v>
      </c>
      <c r="F951" s="918">
        <v>1.50621990704527</v>
      </c>
      <c r="G951" s="919">
        <v>0.38295018195390002</v>
      </c>
    </row>
    <row r="952" spans="1:7" x14ac:dyDescent="0.3">
      <c r="A952" s="6" t="s">
        <v>6360</v>
      </c>
      <c r="B952" s="6"/>
      <c r="C952" s="912">
        <v>22</v>
      </c>
      <c r="D952" s="912">
        <v>12190.141930919301</v>
      </c>
      <c r="E952" s="913">
        <v>4637.5752683585997</v>
      </c>
      <c r="F952" s="914">
        <v>1.4966178638750101</v>
      </c>
      <c r="G952" s="915">
        <v>0.56953412936091796</v>
      </c>
    </row>
    <row r="953" spans="1:7" x14ac:dyDescent="0.3">
      <c r="A953" s="11" t="s">
        <v>1116</v>
      </c>
      <c r="B953" s="11"/>
      <c r="C953" s="916">
        <v>14</v>
      </c>
      <c r="D953" s="916">
        <v>11924.549258999101</v>
      </c>
      <c r="E953" s="917">
        <v>3370.4945994539398</v>
      </c>
      <c r="F953" s="918">
        <v>1.46401030773969</v>
      </c>
      <c r="G953" s="919">
        <v>0.41401266217153099</v>
      </c>
    </row>
    <row r="954" spans="1:7" x14ac:dyDescent="0.3">
      <c r="A954" s="6" t="s">
        <v>1063</v>
      </c>
      <c r="B954" s="6"/>
      <c r="C954" s="912">
        <v>28</v>
      </c>
      <c r="D954" s="912">
        <v>11602.7214777519</v>
      </c>
      <c r="E954" s="913">
        <v>2656.34277245781</v>
      </c>
      <c r="F954" s="914">
        <v>1.42449860974344</v>
      </c>
      <c r="G954" s="915">
        <v>0.32739258686368899</v>
      </c>
    </row>
    <row r="955" spans="1:7" x14ac:dyDescent="0.3">
      <c r="A955" s="11" t="s">
        <v>1073</v>
      </c>
      <c r="B955" s="11"/>
      <c r="C955" s="916">
        <v>23</v>
      </c>
      <c r="D955" s="916">
        <v>11448.8519648446</v>
      </c>
      <c r="E955" s="917">
        <v>2313.59028460841</v>
      </c>
      <c r="F955" s="918">
        <v>1.4056076187256299</v>
      </c>
      <c r="G955" s="919">
        <v>0.284752164058656</v>
      </c>
    </row>
    <row r="956" spans="1:7" x14ac:dyDescent="0.3">
      <c r="A956" s="6" t="s">
        <v>3261</v>
      </c>
      <c r="B956" s="6"/>
      <c r="C956" s="912">
        <v>53</v>
      </c>
      <c r="D956" s="912">
        <v>11377.7828223383</v>
      </c>
      <c r="E956" s="913">
        <v>2453.2466140844399</v>
      </c>
      <c r="F956" s="914">
        <v>1.3968822610679501</v>
      </c>
      <c r="G956" s="915">
        <v>0.30290406150844501</v>
      </c>
    </row>
    <row r="957" spans="1:7" x14ac:dyDescent="0.3">
      <c r="A957" s="11" t="s">
        <v>3116</v>
      </c>
      <c r="B957" s="11"/>
      <c r="C957" s="916">
        <v>24</v>
      </c>
      <c r="D957" s="916">
        <v>11341.0719528589</v>
      </c>
      <c r="E957" s="917">
        <v>3075.60085682522</v>
      </c>
      <c r="F957" s="918">
        <v>1.3923751648116001</v>
      </c>
      <c r="G957" s="919">
        <v>0.37893666960535999</v>
      </c>
    </row>
    <row r="958" spans="1:7" x14ac:dyDescent="0.3">
      <c r="A958" s="6" t="s">
        <v>1136</v>
      </c>
      <c r="B958" s="6"/>
      <c r="C958" s="912">
        <v>26</v>
      </c>
      <c r="D958" s="912">
        <v>11229.229978107</v>
      </c>
      <c r="E958" s="913">
        <v>4093.2547614397199</v>
      </c>
      <c r="F958" s="914">
        <v>1.3786440123530499</v>
      </c>
      <c r="G958" s="915">
        <v>0.50131267111931399</v>
      </c>
    </row>
    <row r="959" spans="1:7" x14ac:dyDescent="0.3">
      <c r="A959" s="11" t="s">
        <v>1232</v>
      </c>
      <c r="B959" s="11"/>
      <c r="C959" s="916">
        <v>46</v>
      </c>
      <c r="D959" s="916">
        <v>11218.811436699199</v>
      </c>
      <c r="E959" s="917">
        <v>4097.3570543906499</v>
      </c>
      <c r="F959" s="918">
        <v>1.3773648988468501</v>
      </c>
      <c r="G959" s="919">
        <v>0.502503228457439</v>
      </c>
    </row>
    <row r="960" spans="1:7" x14ac:dyDescent="0.3">
      <c r="A960" s="6" t="s">
        <v>3250</v>
      </c>
      <c r="B960" s="6"/>
      <c r="C960" s="912">
        <v>40</v>
      </c>
      <c r="D960" s="912">
        <v>11211.9867945072</v>
      </c>
      <c r="E960" s="913">
        <v>3065.4569131264502</v>
      </c>
      <c r="F960" s="914">
        <v>1.37652701841223</v>
      </c>
      <c r="G960" s="915">
        <v>0.37729407628858003</v>
      </c>
    </row>
    <row r="961" spans="1:7" x14ac:dyDescent="0.3">
      <c r="A961" s="11" t="s">
        <v>1124</v>
      </c>
      <c r="B961" s="11"/>
      <c r="C961" s="916">
        <v>20</v>
      </c>
      <c r="D961" s="916">
        <v>11139.4358535926</v>
      </c>
      <c r="E961" s="917">
        <v>2902.4947499323798</v>
      </c>
      <c r="F961" s="918">
        <v>1.36761973621411</v>
      </c>
      <c r="G961" s="919">
        <v>0.35570731592641602</v>
      </c>
    </row>
    <row r="962" spans="1:7" x14ac:dyDescent="0.3">
      <c r="A962" s="6" t="s">
        <v>6361</v>
      </c>
      <c r="B962" s="6"/>
      <c r="C962" s="912">
        <v>22</v>
      </c>
      <c r="D962" s="912">
        <v>11054.536191544399</v>
      </c>
      <c r="E962" s="913">
        <v>2611.26484590255</v>
      </c>
      <c r="F962" s="914">
        <v>1.3571963669393099</v>
      </c>
      <c r="G962" s="915">
        <v>0.32093433549102002</v>
      </c>
    </row>
    <row r="963" spans="1:7" x14ac:dyDescent="0.3">
      <c r="A963" s="11" t="s">
        <v>6357</v>
      </c>
      <c r="B963" s="11"/>
      <c r="C963" s="916">
        <v>18</v>
      </c>
      <c r="D963" s="916">
        <v>10987.1118184511</v>
      </c>
      <c r="E963" s="917">
        <v>2488.4820851634199</v>
      </c>
      <c r="F963" s="918">
        <v>1.34891848782979</v>
      </c>
      <c r="G963" s="919">
        <v>0.30650722826678201</v>
      </c>
    </row>
    <row r="964" spans="1:7" x14ac:dyDescent="0.3">
      <c r="A964" s="6" t="s">
        <v>3134</v>
      </c>
      <c r="B964" s="6"/>
      <c r="C964" s="912">
        <v>28</v>
      </c>
      <c r="D964" s="912">
        <v>10838.030598514501</v>
      </c>
      <c r="E964" s="913">
        <v>3587.0102575084102</v>
      </c>
      <c r="F964" s="914">
        <v>1.3306153689498199</v>
      </c>
      <c r="G964" s="915">
        <v>0.44105481528089002</v>
      </c>
    </row>
    <row r="965" spans="1:7" x14ac:dyDescent="0.3">
      <c r="A965" s="11" t="s">
        <v>1140</v>
      </c>
      <c r="B965" s="11"/>
      <c r="C965" s="916">
        <v>37</v>
      </c>
      <c r="D965" s="916">
        <v>10515.746838576701</v>
      </c>
      <c r="E965" s="917">
        <v>1576.7853429101899</v>
      </c>
      <c r="F965" s="918">
        <v>1.29104768917274</v>
      </c>
      <c r="G965" s="919">
        <v>0.19660412096636101</v>
      </c>
    </row>
    <row r="966" spans="1:7" x14ac:dyDescent="0.3">
      <c r="A966" s="6" t="s">
        <v>1120</v>
      </c>
      <c r="B966" s="6"/>
      <c r="C966" s="912">
        <v>17</v>
      </c>
      <c r="D966" s="912">
        <v>10157.537868255</v>
      </c>
      <c r="E966" s="913">
        <v>3565.3701005286798</v>
      </c>
      <c r="F966" s="914">
        <v>1.24706937070673</v>
      </c>
      <c r="G966" s="915">
        <v>0.43837400223797601</v>
      </c>
    </row>
    <row r="967" spans="1:7" x14ac:dyDescent="0.3">
      <c r="A967" s="11" t="s">
        <v>1071</v>
      </c>
      <c r="B967" s="11"/>
      <c r="C967" s="916">
        <v>18</v>
      </c>
      <c r="D967" s="916">
        <v>9891.0690211769906</v>
      </c>
      <c r="E967" s="917">
        <v>2846.0592238098002</v>
      </c>
      <c r="F967" s="918">
        <v>1.21435424409352</v>
      </c>
      <c r="G967" s="919">
        <v>0.35128435917085998</v>
      </c>
    </row>
    <row r="968" spans="1:7" x14ac:dyDescent="0.3">
      <c r="A968" s="6" t="s">
        <v>1065</v>
      </c>
      <c r="B968" s="6"/>
      <c r="C968" s="912">
        <v>19</v>
      </c>
      <c r="D968" s="912">
        <v>9839.8919160096593</v>
      </c>
      <c r="E968" s="913">
        <v>2045.7489033757299</v>
      </c>
      <c r="F968" s="914">
        <v>1.2080710875684499</v>
      </c>
      <c r="G968" s="915">
        <v>0.25368542757816998</v>
      </c>
    </row>
    <row r="969" spans="1:7" x14ac:dyDescent="0.3">
      <c r="A969" s="11" t="s">
        <v>1128</v>
      </c>
      <c r="B969" s="11"/>
      <c r="C969" s="916">
        <v>21</v>
      </c>
      <c r="D969" s="916">
        <v>9540.6782202159193</v>
      </c>
      <c r="E969" s="917">
        <v>4031.1120624493401</v>
      </c>
      <c r="F969" s="918">
        <v>1.17133578417504</v>
      </c>
      <c r="G969" s="919">
        <v>0.494011205709037</v>
      </c>
    </row>
    <row r="970" spans="1:7" x14ac:dyDescent="0.3">
      <c r="A970" s="6" t="s">
        <v>3107</v>
      </c>
      <c r="B970" s="6"/>
      <c r="C970" s="912">
        <v>18</v>
      </c>
      <c r="D970" s="912">
        <v>9230.7182630593597</v>
      </c>
      <c r="E970" s="913">
        <v>3842.6769968937601</v>
      </c>
      <c r="F970" s="914">
        <v>1.1332811321787599</v>
      </c>
      <c r="G970" s="915">
        <v>0.47024285498194102</v>
      </c>
    </row>
    <row r="971" spans="1:7" x14ac:dyDescent="0.3">
      <c r="A971" s="11" t="s">
        <v>3128</v>
      </c>
      <c r="B971" s="11"/>
      <c r="C971" s="916">
        <v>26</v>
      </c>
      <c r="D971" s="916">
        <v>9225.1038191134394</v>
      </c>
      <c r="E971" s="917">
        <v>4028.5452841486499</v>
      </c>
      <c r="F971" s="918">
        <v>1.13259183117202</v>
      </c>
      <c r="G971" s="919">
        <v>0.49370812727438002</v>
      </c>
    </row>
    <row r="972" spans="1:7" x14ac:dyDescent="0.3">
      <c r="A972" s="6" t="s">
        <v>1132</v>
      </c>
      <c r="B972" s="6"/>
      <c r="C972" s="912">
        <v>24</v>
      </c>
      <c r="D972" s="912">
        <v>9200.8136507101208</v>
      </c>
      <c r="E972" s="913">
        <v>2802.1027122168698</v>
      </c>
      <c r="F972" s="914">
        <v>1.1296096591714899</v>
      </c>
      <c r="G972" s="915">
        <v>0.344953941930498</v>
      </c>
    </row>
    <row r="973" spans="1:7" x14ac:dyDescent="0.3">
      <c r="A973" s="11" t="s">
        <v>1130</v>
      </c>
      <c r="B973" s="11"/>
      <c r="C973" s="916">
        <v>19</v>
      </c>
      <c r="D973" s="916">
        <v>9194.9230418324496</v>
      </c>
      <c r="E973" s="917">
        <v>2163.84622667141</v>
      </c>
      <c r="F973" s="918">
        <v>1.1288864526226701</v>
      </c>
      <c r="G973" s="919">
        <v>0.26450993220215901</v>
      </c>
    </row>
    <row r="974" spans="1:7" x14ac:dyDescent="0.3">
      <c r="A974" s="6" t="s">
        <v>1150</v>
      </c>
      <c r="B974" s="6"/>
      <c r="C974" s="912">
        <v>43</v>
      </c>
      <c r="D974" s="912">
        <v>9155.0529750894293</v>
      </c>
      <c r="E974" s="913">
        <v>2259.21060669905</v>
      </c>
      <c r="F974" s="914">
        <v>1.1239914928707999</v>
      </c>
      <c r="G974" s="915">
        <v>0.27721722357026002</v>
      </c>
    </row>
    <row r="975" spans="1:7" x14ac:dyDescent="0.3">
      <c r="A975" s="11" t="s">
        <v>1122</v>
      </c>
      <c r="B975" s="11"/>
      <c r="C975" s="916">
        <v>25</v>
      </c>
      <c r="D975" s="916">
        <v>9114.4745530188393</v>
      </c>
      <c r="E975" s="917">
        <v>1941.0154147747701</v>
      </c>
      <c r="F975" s="918">
        <v>1.11900956635158</v>
      </c>
      <c r="G975" s="919">
        <v>0.23673288519708399</v>
      </c>
    </row>
    <row r="976" spans="1:7" x14ac:dyDescent="0.3">
      <c r="A976" s="6" t="s">
        <v>1081</v>
      </c>
      <c r="B976" s="6"/>
      <c r="C976" s="912">
        <v>17</v>
      </c>
      <c r="D976" s="912">
        <v>9080.5411507224308</v>
      </c>
      <c r="E976" s="913">
        <v>2563.9356439630001</v>
      </c>
      <c r="F976" s="914">
        <v>1.1148434675197001</v>
      </c>
      <c r="G976" s="915">
        <v>0.313528970402917</v>
      </c>
    </row>
    <row r="977" spans="1:7" x14ac:dyDescent="0.3">
      <c r="A977" s="11" t="s">
        <v>3142</v>
      </c>
      <c r="B977" s="11"/>
      <c r="C977" s="916">
        <v>29</v>
      </c>
      <c r="D977" s="916">
        <v>8785.2724528903509</v>
      </c>
      <c r="E977" s="917">
        <v>1929.88901623725</v>
      </c>
      <c r="F977" s="918">
        <v>1.07859250257418</v>
      </c>
      <c r="G977" s="919">
        <v>0.23627780263984099</v>
      </c>
    </row>
    <row r="978" spans="1:7" x14ac:dyDescent="0.3">
      <c r="A978" s="6" t="s">
        <v>3144</v>
      </c>
      <c r="B978" s="6"/>
      <c r="C978" s="912">
        <v>42</v>
      </c>
      <c r="D978" s="912">
        <v>8525.8639041901806</v>
      </c>
      <c r="E978" s="913">
        <v>1057.9188863556999</v>
      </c>
      <c r="F978" s="914">
        <v>1.04674418856548</v>
      </c>
      <c r="G978" s="915">
        <v>0.13192369438320201</v>
      </c>
    </row>
    <row r="979" spans="1:7" x14ac:dyDescent="0.3">
      <c r="A979" s="11" t="s">
        <v>3118</v>
      </c>
      <c r="B979" s="11"/>
      <c r="C979" s="916">
        <v>17</v>
      </c>
      <c r="D979" s="916">
        <v>8404.1989617873496</v>
      </c>
      <c r="E979" s="917">
        <v>2573.4013126792902</v>
      </c>
      <c r="F979" s="918">
        <v>1.03180704285879</v>
      </c>
      <c r="G979" s="919">
        <v>0.315798531416005</v>
      </c>
    </row>
    <row r="980" spans="1:7" x14ac:dyDescent="0.3">
      <c r="A980" s="6" t="s">
        <v>6460</v>
      </c>
      <c r="B980" s="6"/>
      <c r="C980" s="912">
        <v>36</v>
      </c>
      <c r="D980" s="912">
        <v>8395.5378846272597</v>
      </c>
      <c r="E980" s="913">
        <v>2302.20570081489</v>
      </c>
      <c r="F980" s="914">
        <v>1.0307436981601299</v>
      </c>
      <c r="G980" s="915">
        <v>0.281760224508737</v>
      </c>
    </row>
    <row r="981" spans="1:7" x14ac:dyDescent="0.3">
      <c r="A981" s="11" t="s">
        <v>6363</v>
      </c>
      <c r="B981" s="11"/>
      <c r="C981" s="916">
        <v>27</v>
      </c>
      <c r="D981" s="916">
        <v>8321.4409478346897</v>
      </c>
      <c r="E981" s="917">
        <v>2741.6671811680799</v>
      </c>
      <c r="F981" s="918">
        <v>1.02164660971845</v>
      </c>
      <c r="G981" s="919">
        <v>0.33748736515021299</v>
      </c>
    </row>
    <row r="982" spans="1:7" x14ac:dyDescent="0.3">
      <c r="A982" s="6" t="s">
        <v>1222</v>
      </c>
      <c r="B982" s="6"/>
      <c r="C982" s="912">
        <v>14</v>
      </c>
      <c r="D982" s="912">
        <v>8291.6007613010206</v>
      </c>
      <c r="E982" s="913">
        <v>3799.82244676665</v>
      </c>
      <c r="F982" s="914">
        <v>1.0179830464489901</v>
      </c>
      <c r="G982" s="915">
        <v>0.46570295985216598</v>
      </c>
    </row>
    <row r="983" spans="1:7" x14ac:dyDescent="0.3">
      <c r="A983" s="11" t="s">
        <v>3254</v>
      </c>
      <c r="B983" s="11"/>
      <c r="C983" s="916">
        <v>35</v>
      </c>
      <c r="D983" s="916">
        <v>8068.24261512047</v>
      </c>
      <c r="E983" s="917">
        <v>3143.7095096141402</v>
      </c>
      <c r="F983" s="918">
        <v>0.99056074131831895</v>
      </c>
      <c r="G983" s="919">
        <v>0.38476395876014902</v>
      </c>
    </row>
    <row r="984" spans="1:7" x14ac:dyDescent="0.3">
      <c r="A984" s="6" t="s">
        <v>1152</v>
      </c>
      <c r="B984" s="6"/>
      <c r="C984" s="912">
        <v>47</v>
      </c>
      <c r="D984" s="912">
        <v>8034.6704357532499</v>
      </c>
      <c r="E984" s="913">
        <v>2098.3605792450498</v>
      </c>
      <c r="F984" s="914">
        <v>0.98643899083707498</v>
      </c>
      <c r="G984" s="915">
        <v>0.25790044322030897</v>
      </c>
    </row>
    <row r="985" spans="1:7" x14ac:dyDescent="0.3">
      <c r="A985" s="11" t="s">
        <v>3252</v>
      </c>
      <c r="B985" s="11"/>
      <c r="C985" s="916">
        <v>35</v>
      </c>
      <c r="D985" s="916">
        <v>7939.0334050998399</v>
      </c>
      <c r="E985" s="917">
        <v>1797.43869598329</v>
      </c>
      <c r="F985" s="918">
        <v>0.97469736474814295</v>
      </c>
      <c r="G985" s="919">
        <v>0.21908169805878799</v>
      </c>
    </row>
    <row r="986" spans="1:7" x14ac:dyDescent="0.3">
      <c r="A986" s="6" t="s">
        <v>3120</v>
      </c>
      <c r="B986" s="6"/>
      <c r="C986" s="912">
        <v>17</v>
      </c>
      <c r="D986" s="912">
        <v>7878.9467266372403</v>
      </c>
      <c r="E986" s="913">
        <v>2925.6691753652299</v>
      </c>
      <c r="F986" s="914">
        <v>0.96732035495796698</v>
      </c>
      <c r="G986" s="915">
        <v>0.35965276429345799</v>
      </c>
    </row>
    <row r="987" spans="1:7" x14ac:dyDescent="0.3">
      <c r="A987" s="11" t="s">
        <v>3265</v>
      </c>
      <c r="B987" s="11"/>
      <c r="C987" s="916">
        <v>41</v>
      </c>
      <c r="D987" s="916">
        <v>7433.7254589108297</v>
      </c>
      <c r="E987" s="917">
        <v>1750.64923780458</v>
      </c>
      <c r="F987" s="918">
        <v>0.91265929305791205</v>
      </c>
      <c r="G987" s="919">
        <v>0.21328190059332999</v>
      </c>
    </row>
    <row r="988" spans="1:7" x14ac:dyDescent="0.3">
      <c r="A988" s="6" t="s">
        <v>3263</v>
      </c>
      <c r="B988" s="6"/>
      <c r="C988" s="912">
        <v>36</v>
      </c>
      <c r="D988" s="912">
        <v>7250.0638956089497</v>
      </c>
      <c r="E988" s="913">
        <v>909.463248486059</v>
      </c>
      <c r="F988" s="914">
        <v>0.89011064857924405</v>
      </c>
      <c r="G988" s="915">
        <v>0.11217392918538301</v>
      </c>
    </row>
    <row r="989" spans="1:7" x14ac:dyDescent="0.3">
      <c r="A989" s="11" t="s">
        <v>3136</v>
      </c>
      <c r="B989" s="11"/>
      <c r="C989" s="916">
        <v>22</v>
      </c>
      <c r="D989" s="916">
        <v>7003.58172959282</v>
      </c>
      <c r="E989" s="917">
        <v>1887.94083253142</v>
      </c>
      <c r="F989" s="918">
        <v>0.85984934277355196</v>
      </c>
      <c r="G989" s="919">
        <v>0.23212582253744601</v>
      </c>
    </row>
    <row r="990" spans="1:7" x14ac:dyDescent="0.3">
      <c r="A990" s="6" t="s">
        <v>1138</v>
      </c>
      <c r="B990" s="6"/>
      <c r="C990" s="912">
        <v>28</v>
      </c>
      <c r="D990" s="912">
        <v>6956.2695598396203</v>
      </c>
      <c r="E990" s="913">
        <v>2044.87291962165</v>
      </c>
      <c r="F990" s="914">
        <v>0.85404069519318704</v>
      </c>
      <c r="G990" s="915">
        <v>0.25197136760621403</v>
      </c>
    </row>
    <row r="991" spans="1:7" x14ac:dyDescent="0.3">
      <c r="A991" s="11" t="s">
        <v>3122</v>
      </c>
      <c r="B991" s="11"/>
      <c r="C991" s="916">
        <v>23</v>
      </c>
      <c r="D991" s="916">
        <v>6875.8494177682596</v>
      </c>
      <c r="E991" s="917">
        <v>2189.5024881136501</v>
      </c>
      <c r="F991" s="918">
        <v>0.84416728913102401</v>
      </c>
      <c r="G991" s="919">
        <v>0.26866776437122097</v>
      </c>
    </row>
    <row r="992" spans="1:7" x14ac:dyDescent="0.3">
      <c r="A992" s="6" t="s">
        <v>1134</v>
      </c>
      <c r="B992" s="6"/>
      <c r="C992" s="912">
        <v>20</v>
      </c>
      <c r="D992" s="912">
        <v>6873.8822198837697</v>
      </c>
      <c r="E992" s="913">
        <v>3210.41026874307</v>
      </c>
      <c r="F992" s="914">
        <v>0.84392577073752395</v>
      </c>
      <c r="G992" s="915">
        <v>0.395671886386114</v>
      </c>
    </row>
    <row r="993" spans="1:7" x14ac:dyDescent="0.3">
      <c r="A993" s="11" t="s">
        <v>1228</v>
      </c>
      <c r="B993" s="11"/>
      <c r="C993" s="916">
        <v>29</v>
      </c>
      <c r="D993" s="916">
        <v>6776.6379348619703</v>
      </c>
      <c r="E993" s="917">
        <v>1434.82070632351</v>
      </c>
      <c r="F993" s="918">
        <v>0.83198681752860004</v>
      </c>
      <c r="G993" s="919">
        <v>0.177295200196666</v>
      </c>
    </row>
    <row r="994" spans="1:7" x14ac:dyDescent="0.3">
      <c r="A994" s="6" t="s">
        <v>1219</v>
      </c>
      <c r="B994" s="6"/>
      <c r="C994" s="912">
        <v>8</v>
      </c>
      <c r="D994" s="912">
        <v>6606.0489724455201</v>
      </c>
      <c r="E994" s="913">
        <v>3240.7805984811798</v>
      </c>
      <c r="F994" s="914">
        <v>0.81104313287101604</v>
      </c>
      <c r="G994" s="915">
        <v>0.398629490891731</v>
      </c>
    </row>
    <row r="995" spans="1:7" x14ac:dyDescent="0.3">
      <c r="A995" s="11" t="s">
        <v>6364</v>
      </c>
      <c r="B995" s="11"/>
      <c r="C995" s="916">
        <v>14</v>
      </c>
      <c r="D995" s="916">
        <v>6506.97951529477</v>
      </c>
      <c r="E995" s="917">
        <v>3246.54685619049</v>
      </c>
      <c r="F995" s="918">
        <v>0.79888009816834904</v>
      </c>
      <c r="G995" s="919">
        <v>0.39942864227677699</v>
      </c>
    </row>
    <row r="996" spans="1:7" x14ac:dyDescent="0.3">
      <c r="A996" s="6" t="s">
        <v>1069</v>
      </c>
      <c r="B996" s="6"/>
      <c r="C996" s="912">
        <v>16</v>
      </c>
      <c r="D996" s="912">
        <v>6333.1600512088999</v>
      </c>
      <c r="E996" s="913">
        <v>2157.9828857915099</v>
      </c>
      <c r="F996" s="914">
        <v>0.77753979577365195</v>
      </c>
      <c r="G996" s="915">
        <v>0.264164655366873</v>
      </c>
    </row>
    <row r="997" spans="1:7" x14ac:dyDescent="0.3">
      <c r="A997" s="11" t="s">
        <v>1114</v>
      </c>
      <c r="B997" s="11"/>
      <c r="C997" s="916">
        <v>14</v>
      </c>
      <c r="D997" s="916">
        <v>6136.1914186451404</v>
      </c>
      <c r="E997" s="917">
        <v>1720.89243800438</v>
      </c>
      <c r="F997" s="918">
        <v>0.75335740513468397</v>
      </c>
      <c r="G997" s="919">
        <v>0.21131040861130801</v>
      </c>
    </row>
    <row r="998" spans="1:7" x14ac:dyDescent="0.3">
      <c r="A998" s="6" t="s">
        <v>6397</v>
      </c>
      <c r="B998" s="6"/>
      <c r="C998" s="912">
        <v>38</v>
      </c>
      <c r="D998" s="912">
        <v>5852.8852836639799</v>
      </c>
      <c r="E998" s="913">
        <v>987.29012351546305</v>
      </c>
      <c r="F998" s="914">
        <v>0.71857511753204795</v>
      </c>
      <c r="G998" s="915">
        <v>0.12116106642723599</v>
      </c>
    </row>
    <row r="999" spans="1:7" x14ac:dyDescent="0.3">
      <c r="A999" s="11" t="s">
        <v>1158</v>
      </c>
      <c r="B999" s="11"/>
      <c r="C999" s="916">
        <v>35</v>
      </c>
      <c r="D999" s="916">
        <v>5843.82736615676</v>
      </c>
      <c r="E999" s="917">
        <v>1469.5168194610801</v>
      </c>
      <c r="F999" s="918">
        <v>0.71746305163259905</v>
      </c>
      <c r="G999" s="919">
        <v>0.17999040650404399</v>
      </c>
    </row>
    <row r="1000" spans="1:7" x14ac:dyDescent="0.3">
      <c r="A1000" s="6" t="s">
        <v>1160</v>
      </c>
      <c r="B1000" s="6"/>
      <c r="C1000" s="912">
        <v>33</v>
      </c>
      <c r="D1000" s="912">
        <v>5514.5754082664998</v>
      </c>
      <c r="E1000" s="913">
        <v>1186.57531700246</v>
      </c>
      <c r="F1000" s="914">
        <v>0.67703986667816296</v>
      </c>
      <c r="G1000" s="915">
        <v>0.146865844475392</v>
      </c>
    </row>
    <row r="1001" spans="1:7" x14ac:dyDescent="0.3">
      <c r="A1001" s="11" t="s">
        <v>1156</v>
      </c>
      <c r="B1001" s="11"/>
      <c r="C1001" s="916">
        <v>41</v>
      </c>
      <c r="D1001" s="916">
        <v>5444.5682559812403</v>
      </c>
      <c r="E1001" s="917">
        <v>1952.63054265503</v>
      </c>
      <c r="F1001" s="918">
        <v>0.66844489253406403</v>
      </c>
      <c r="G1001" s="919">
        <v>0.24038432754085301</v>
      </c>
    </row>
    <row r="1002" spans="1:7" x14ac:dyDescent="0.3">
      <c r="A1002" s="6" t="s">
        <v>3103</v>
      </c>
      <c r="B1002" s="6"/>
      <c r="C1002" s="912">
        <v>15</v>
      </c>
      <c r="D1002" s="912">
        <v>5331.5368909660601</v>
      </c>
      <c r="E1002" s="913">
        <v>1096.3424224375699</v>
      </c>
      <c r="F1002" s="914">
        <v>0.65456771530195801</v>
      </c>
      <c r="G1002" s="915">
        <v>0.135525515834652</v>
      </c>
    </row>
    <row r="1003" spans="1:7" x14ac:dyDescent="0.3">
      <c r="A1003" s="11" t="s">
        <v>3162</v>
      </c>
      <c r="B1003" s="11"/>
      <c r="C1003" s="916">
        <v>22</v>
      </c>
      <c r="D1003" s="916">
        <v>4408.1309936899297</v>
      </c>
      <c r="E1003" s="917">
        <v>1013.32932993456</v>
      </c>
      <c r="F1003" s="918">
        <v>0.54119858725549197</v>
      </c>
      <c r="G1003" s="919">
        <v>0.12454769857329499</v>
      </c>
    </row>
    <row r="1004" spans="1:7" x14ac:dyDescent="0.3">
      <c r="A1004" s="6" t="s">
        <v>6461</v>
      </c>
      <c r="B1004" s="6"/>
      <c r="C1004" s="912">
        <v>22</v>
      </c>
      <c r="D1004" s="912">
        <v>4406.5641731916903</v>
      </c>
      <c r="E1004" s="913">
        <v>2098.0032343160701</v>
      </c>
      <c r="F1004" s="914">
        <v>0.54100622431497503</v>
      </c>
      <c r="G1004" s="915">
        <v>0.25758438305638998</v>
      </c>
    </row>
    <row r="1005" spans="1:7" x14ac:dyDescent="0.3">
      <c r="A1005" s="11" t="s">
        <v>1234</v>
      </c>
      <c r="B1005" s="11"/>
      <c r="C1005" s="916">
        <v>18</v>
      </c>
      <c r="D1005" s="916">
        <v>4304.7714397816999</v>
      </c>
      <c r="E1005" s="917">
        <v>1592.6290719307201</v>
      </c>
      <c r="F1005" s="918">
        <v>0.52850884535930798</v>
      </c>
      <c r="G1005" s="919">
        <v>0.19606673630149399</v>
      </c>
    </row>
    <row r="1006" spans="1:7" x14ac:dyDescent="0.3">
      <c r="A1006" s="6" t="s">
        <v>3273</v>
      </c>
      <c r="B1006" s="6"/>
      <c r="C1006" s="912">
        <v>22</v>
      </c>
      <c r="D1006" s="912">
        <v>3699.6893571935998</v>
      </c>
      <c r="E1006" s="913">
        <v>1662.9346281356</v>
      </c>
      <c r="F1006" s="914">
        <v>0.45422122352160699</v>
      </c>
      <c r="G1006" s="915">
        <v>0.203844065521989</v>
      </c>
    </row>
    <row r="1007" spans="1:7" x14ac:dyDescent="0.3">
      <c r="A1007" s="11" t="s">
        <v>1154</v>
      </c>
      <c r="B1007" s="11"/>
      <c r="C1007" s="916">
        <v>20</v>
      </c>
      <c r="D1007" s="916">
        <v>3616.47697654385</v>
      </c>
      <c r="E1007" s="917">
        <v>773.27938377110104</v>
      </c>
      <c r="F1007" s="918">
        <v>0.44400500650939101</v>
      </c>
      <c r="G1007" s="919">
        <v>9.5093984002191004E-2</v>
      </c>
    </row>
    <row r="1008" spans="1:7" x14ac:dyDescent="0.3">
      <c r="A1008" s="6" t="s">
        <v>3275</v>
      </c>
      <c r="B1008" s="6"/>
      <c r="C1008" s="912">
        <v>14</v>
      </c>
      <c r="D1008" s="912">
        <v>3433.7351718443001</v>
      </c>
      <c r="E1008" s="913">
        <v>1463.96138960187</v>
      </c>
      <c r="F1008" s="914">
        <v>0.42156928337015398</v>
      </c>
      <c r="G1008" s="915">
        <v>0.18034894741094201</v>
      </c>
    </row>
    <row r="1009" spans="1:7" x14ac:dyDescent="0.3">
      <c r="A1009" s="11" t="s">
        <v>1168</v>
      </c>
      <c r="B1009" s="11"/>
      <c r="C1009" s="916">
        <v>15</v>
      </c>
      <c r="D1009" s="916">
        <v>3313.7257544792801</v>
      </c>
      <c r="E1009" s="917">
        <v>1420.92843947696</v>
      </c>
      <c r="F1009" s="918">
        <v>0.40683539110872302</v>
      </c>
      <c r="G1009" s="919">
        <v>0.174278125888397</v>
      </c>
    </row>
    <row r="1010" spans="1:7" x14ac:dyDescent="0.3">
      <c r="A1010" s="6" t="s">
        <v>1164</v>
      </c>
      <c r="B1010" s="6"/>
      <c r="C1010" s="912">
        <v>14</v>
      </c>
      <c r="D1010" s="912">
        <v>2064.76052985055</v>
      </c>
      <c r="E1010" s="913">
        <v>1219.50920289959</v>
      </c>
      <c r="F1010" s="914">
        <v>0.25349643270029798</v>
      </c>
      <c r="G1010" s="915">
        <v>0.14965953986987601</v>
      </c>
    </row>
    <row r="1011" spans="1:7" x14ac:dyDescent="0.3">
      <c r="A1011" s="11" t="s">
        <v>6367</v>
      </c>
      <c r="B1011" s="11"/>
      <c r="C1011" s="916">
        <v>13</v>
      </c>
      <c r="D1011" s="916">
        <v>1286.8283872939201</v>
      </c>
      <c r="E1011" s="917">
        <v>500.52443893992103</v>
      </c>
      <c r="F1011" s="918">
        <v>0.15798752492624399</v>
      </c>
      <c r="G1011" s="919">
        <v>6.1407480378478797E-2</v>
      </c>
    </row>
    <row r="1012" spans="1:7" x14ac:dyDescent="0.3">
      <c r="A1012" s="6" t="s">
        <v>1162</v>
      </c>
      <c r="B1012" s="6"/>
      <c r="C1012" s="912">
        <v>17</v>
      </c>
      <c r="D1012" s="912">
        <v>1284.5097902715199</v>
      </c>
      <c r="E1012" s="913">
        <v>384.101266246036</v>
      </c>
      <c r="F1012" s="914">
        <v>0.15770286427647301</v>
      </c>
      <c r="G1012" s="915">
        <v>4.7031441505207397E-2</v>
      </c>
    </row>
    <row r="1013" spans="1:7" x14ac:dyDescent="0.3">
      <c r="A1013" s="11" t="s">
        <v>1236</v>
      </c>
      <c r="B1013" s="11"/>
      <c r="C1013" s="916">
        <v>4</v>
      </c>
      <c r="D1013" s="916">
        <v>1256.2795164711699</v>
      </c>
      <c r="E1013" s="917">
        <v>1210.98520757595</v>
      </c>
      <c r="F1013" s="918">
        <v>0.154236954501909</v>
      </c>
      <c r="G1013" s="919">
        <v>0.14857241488093201</v>
      </c>
    </row>
    <row r="1014" spans="1:7" x14ac:dyDescent="0.3">
      <c r="A1014" s="6" t="s">
        <v>3282</v>
      </c>
      <c r="B1014" s="6"/>
      <c r="C1014" s="912">
        <v>14</v>
      </c>
      <c r="D1014" s="912">
        <v>1075.25942051273</v>
      </c>
      <c r="E1014" s="913">
        <v>519.56153172025495</v>
      </c>
      <c r="F1014" s="914">
        <v>0.132012610366538</v>
      </c>
      <c r="G1014" s="915">
        <v>6.3936492167916595E-2</v>
      </c>
    </row>
    <row r="1015" spans="1:7" x14ac:dyDescent="0.3">
      <c r="A1015" s="11" t="s">
        <v>3288</v>
      </c>
      <c r="B1015" s="11"/>
      <c r="C1015" s="916">
        <v>6</v>
      </c>
      <c r="D1015" s="916">
        <v>834.16248915178198</v>
      </c>
      <c r="E1015" s="917">
        <v>499.88074269238899</v>
      </c>
      <c r="F1015" s="918">
        <v>0.102412464901043</v>
      </c>
      <c r="G1015" s="919">
        <v>6.1390918288378699E-2</v>
      </c>
    </row>
    <row r="1016" spans="1:7" x14ac:dyDescent="0.3">
      <c r="A1016" s="6" t="s">
        <v>3290</v>
      </c>
      <c r="B1016" s="6"/>
      <c r="C1016" s="912">
        <v>6</v>
      </c>
      <c r="D1016" s="912">
        <v>725.19634281327706</v>
      </c>
      <c r="E1016" s="913">
        <v>496.267207815311</v>
      </c>
      <c r="F1016" s="914">
        <v>8.9034385950691602E-2</v>
      </c>
      <c r="G1016" s="915">
        <v>6.1006461747737002E-2</v>
      </c>
    </row>
    <row r="1017" spans="1:7" x14ac:dyDescent="0.3">
      <c r="A1017" s="11" t="s">
        <v>3284</v>
      </c>
      <c r="B1017" s="11"/>
      <c r="C1017" s="916">
        <v>10</v>
      </c>
      <c r="D1017" s="916">
        <v>707.92211308672597</v>
      </c>
      <c r="E1017" s="917">
        <v>258.06036631191301</v>
      </c>
      <c r="F1017" s="918">
        <v>8.6913580389940695E-2</v>
      </c>
      <c r="G1017" s="919">
        <v>3.1758690969143299E-2</v>
      </c>
    </row>
    <row r="1018" spans="1:7" x14ac:dyDescent="0.3">
      <c r="A1018" s="6" t="s">
        <v>3286</v>
      </c>
      <c r="B1018" s="6"/>
      <c r="C1018" s="912">
        <v>8</v>
      </c>
      <c r="D1018" s="912">
        <v>571.34810350063697</v>
      </c>
      <c r="E1018" s="913">
        <v>324.614855053523</v>
      </c>
      <c r="F1018" s="914">
        <v>7.0146006751676704E-2</v>
      </c>
      <c r="G1018" s="915">
        <v>3.9866072388759902E-2</v>
      </c>
    </row>
    <row r="1019" spans="1:7" x14ac:dyDescent="0.3">
      <c r="A1019" s="11" t="s">
        <v>1172</v>
      </c>
      <c r="B1019" s="11"/>
      <c r="C1019" s="916">
        <v>3</v>
      </c>
      <c r="D1019" s="916">
        <v>460.357892027584</v>
      </c>
      <c r="E1019" s="917">
        <v>317.79179311768098</v>
      </c>
      <c r="F1019" s="918">
        <v>5.6519427656275698E-2</v>
      </c>
      <c r="G1019" s="919">
        <v>3.9030238549612399E-2</v>
      </c>
    </row>
    <row r="1020" spans="1:7" x14ac:dyDescent="0.3">
      <c r="A1020" s="6" t="s">
        <v>6462</v>
      </c>
      <c r="B1020" s="6"/>
      <c r="C1020" s="912">
        <v>2</v>
      </c>
      <c r="D1020" s="912">
        <v>456.075166772324</v>
      </c>
      <c r="E1020" s="913">
        <v>528.36173388683198</v>
      </c>
      <c r="F1020" s="914">
        <v>5.5993625482731402E-2</v>
      </c>
      <c r="G1020" s="915">
        <v>6.4882706735508902E-2</v>
      </c>
    </row>
    <row r="1021" spans="1:7" x14ac:dyDescent="0.3">
      <c r="A1021" s="11" t="s">
        <v>1166</v>
      </c>
      <c r="B1021" s="11"/>
      <c r="C1021" s="916">
        <v>7</v>
      </c>
      <c r="D1021" s="916">
        <v>408.100825828626</v>
      </c>
      <c r="E1021" s="917">
        <v>178.76663862202301</v>
      </c>
      <c r="F1021" s="918">
        <v>5.0103681290871303E-2</v>
      </c>
      <c r="G1021" s="919">
        <v>2.1908141641121599E-2</v>
      </c>
    </row>
    <row r="1022" spans="1:7" x14ac:dyDescent="0.3">
      <c r="A1022" s="6" t="s">
        <v>1170</v>
      </c>
      <c r="B1022" s="6"/>
      <c r="C1022" s="912">
        <v>2</v>
      </c>
      <c r="D1022" s="912">
        <v>398.07932796080303</v>
      </c>
      <c r="E1022" s="913">
        <v>419.920593854603</v>
      </c>
      <c r="F1022" s="914">
        <v>4.88733139320034E-2</v>
      </c>
      <c r="G1022" s="915">
        <v>5.15693311851739E-2</v>
      </c>
    </row>
    <row r="1023" spans="1:7" x14ac:dyDescent="0.3">
      <c r="A1023" s="11" t="s">
        <v>1176</v>
      </c>
      <c r="B1023" s="11"/>
      <c r="C1023" s="916">
        <v>2</v>
      </c>
      <c r="D1023" s="916">
        <v>278.10062253299498</v>
      </c>
      <c r="E1023" s="917">
        <v>296.53905969287803</v>
      </c>
      <c r="F1023" s="918">
        <v>3.41431922611138E-2</v>
      </c>
      <c r="G1023" s="919">
        <v>3.6426615864079102E-2</v>
      </c>
    </row>
    <row r="1024" spans="1:7" x14ac:dyDescent="0.3">
      <c r="A1024" s="6" t="s">
        <v>1174</v>
      </c>
      <c r="B1024" s="6"/>
      <c r="C1024" s="912">
        <v>1</v>
      </c>
      <c r="D1024" s="912">
        <v>237.05070063546199</v>
      </c>
      <c r="E1024" s="913">
        <v>317.09822184484199</v>
      </c>
      <c r="F1024" s="914">
        <v>2.91033783876842E-2</v>
      </c>
      <c r="G1024" s="915">
        <v>3.8861858628494603E-2</v>
      </c>
    </row>
    <row r="1025" spans="1:7" x14ac:dyDescent="0.3">
      <c r="A1025" s="11" t="s">
        <v>1238</v>
      </c>
      <c r="B1025" s="11"/>
      <c r="C1025" s="916">
        <v>1</v>
      </c>
      <c r="D1025" s="916">
        <v>67.092400603917099</v>
      </c>
      <c r="E1025" s="917">
        <v>68.317091719042097</v>
      </c>
      <c r="F1025" s="918">
        <v>8.2371219172924399E-3</v>
      </c>
      <c r="G1025" s="919">
        <v>8.3806644437955206E-3</v>
      </c>
    </row>
    <row r="1026" spans="1:7" x14ac:dyDescent="0.3">
      <c r="A1026" s="6" t="s">
        <v>1017</v>
      </c>
      <c r="B1026" s="6" t="s">
        <v>1018</v>
      </c>
      <c r="C1026" s="912">
        <v>5</v>
      </c>
      <c r="D1026" s="912">
        <v>3050.34281730155</v>
      </c>
      <c r="E1026" s="913">
        <v>2260.4240135878299</v>
      </c>
      <c r="F1026" s="914">
        <v>100</v>
      </c>
      <c r="G1026" s="915">
        <v>0</v>
      </c>
    </row>
    <row r="1027" spans="1:7" x14ac:dyDescent="0.3">
      <c r="A1027" s="11" t="s">
        <v>6354</v>
      </c>
      <c r="B1027" s="11" t="s">
        <v>6355</v>
      </c>
      <c r="C1027" s="916">
        <v>2269</v>
      </c>
      <c r="D1027" s="916">
        <v>814512.65718269802</v>
      </c>
      <c r="E1027" s="917">
        <v>2260.4240135878399</v>
      </c>
      <c r="F1027" s="918">
        <v>99.626898132950998</v>
      </c>
      <c r="G1027" s="919">
        <v>0.27648315953483499</v>
      </c>
    </row>
    <row r="1028" spans="1:7" x14ac:dyDescent="0.3">
      <c r="A1028" s="6" t="s">
        <v>6354</v>
      </c>
      <c r="B1028" s="6" t="s">
        <v>6356</v>
      </c>
      <c r="C1028" s="912">
        <v>2274</v>
      </c>
      <c r="D1028" s="912">
        <v>817563</v>
      </c>
      <c r="E1028" s="913">
        <v>0</v>
      </c>
      <c r="F1028" s="914">
        <v>100</v>
      </c>
      <c r="G1028" s="915">
        <v>0</v>
      </c>
    </row>
    <row r="1029" spans="1:7" x14ac:dyDescent="0.3">
      <c r="A1029" s="3449" t="s">
        <v>12</v>
      </c>
      <c r="B1029" s="3450"/>
      <c r="C1029" s="3450"/>
      <c r="D1029" s="3450"/>
      <c r="E1029" s="3450"/>
      <c r="F1029" s="3450"/>
      <c r="G1029" s="3450"/>
    </row>
    <row r="1030" spans="1:7" x14ac:dyDescent="0.3">
      <c r="A1030" s="11" t="s">
        <v>1027</v>
      </c>
      <c r="B1030" s="11" t="s">
        <v>1028</v>
      </c>
      <c r="C1030" s="924">
        <v>3</v>
      </c>
      <c r="D1030" s="924">
        <v>2943.25294710251</v>
      </c>
      <c r="E1030" s="925">
        <v>2302.4654656728699</v>
      </c>
      <c r="F1030" s="926">
        <v>96.489251319830899</v>
      </c>
      <c r="G1030" s="927">
        <v>7.5997792632263099</v>
      </c>
    </row>
    <row r="1031" spans="1:7" x14ac:dyDescent="0.3">
      <c r="A1031" s="6" t="s">
        <v>1031</v>
      </c>
      <c r="B1031" s="6" t="s">
        <v>1032</v>
      </c>
      <c r="C1031" s="920">
        <v>1</v>
      </c>
      <c r="D1031" s="920">
        <v>66.324856456811403</v>
      </c>
      <c r="E1031" s="921">
        <v>72.331165608502701</v>
      </c>
      <c r="F1031" s="922">
        <v>2.1743410635885501</v>
      </c>
      <c r="G1031" s="923">
        <v>4.9106475659622904</v>
      </c>
    </row>
    <row r="1032" spans="1:7" x14ac:dyDescent="0.3">
      <c r="A1032" s="11" t="s">
        <v>1029</v>
      </c>
      <c r="B1032" s="11" t="s">
        <v>1030</v>
      </c>
      <c r="C1032" s="924">
        <v>1</v>
      </c>
      <c r="D1032" s="924">
        <v>40.765013742235503</v>
      </c>
      <c r="E1032" s="925">
        <v>45.032067495364601</v>
      </c>
      <c r="F1032" s="926">
        <v>1.3364076165805401</v>
      </c>
      <c r="G1032" s="927">
        <v>3.0925556801143101</v>
      </c>
    </row>
    <row r="1033" spans="1:7" x14ac:dyDescent="0.3">
      <c r="A1033" s="6" t="s">
        <v>1019</v>
      </c>
      <c r="B1033" s="6" t="s">
        <v>1020</v>
      </c>
      <c r="C1033" s="920">
        <v>2269</v>
      </c>
      <c r="D1033" s="920">
        <v>814512.65718269697</v>
      </c>
      <c r="E1033" s="921">
        <v>2260.4240135883301</v>
      </c>
      <c r="F1033" s="922">
        <v>100</v>
      </c>
      <c r="G1033" s="923">
        <v>0</v>
      </c>
    </row>
    <row r="1034" spans="1:7" x14ac:dyDescent="0.3">
      <c r="A1034" s="11" t="s">
        <v>6354</v>
      </c>
      <c r="B1034" s="11" t="s">
        <v>6355</v>
      </c>
      <c r="C1034" s="924">
        <v>5</v>
      </c>
      <c r="D1034" s="924">
        <v>3050.34281730155</v>
      </c>
      <c r="E1034" s="925">
        <v>2260.4240135878299</v>
      </c>
      <c r="F1034" s="926">
        <v>0.37310186704896903</v>
      </c>
      <c r="G1034" s="927">
        <v>0.27648315953484198</v>
      </c>
    </row>
    <row r="1035" spans="1:7" x14ac:dyDescent="0.3">
      <c r="A1035" s="6" t="s">
        <v>6354</v>
      </c>
      <c r="B1035" s="6" t="s">
        <v>6356</v>
      </c>
      <c r="C1035" s="920">
        <v>2274</v>
      </c>
      <c r="D1035" s="920">
        <v>817562.99999999802</v>
      </c>
      <c r="E1035" s="921">
        <v>0</v>
      </c>
      <c r="F1035" s="922">
        <v>100</v>
      </c>
      <c r="G1035" s="923">
        <v>0</v>
      </c>
    </row>
    <row r="1036" spans="1:7" x14ac:dyDescent="0.3">
      <c r="A1036" s="3449" t="s">
        <v>161</v>
      </c>
      <c r="B1036" s="3450"/>
      <c r="C1036" s="3450"/>
      <c r="D1036" s="3450"/>
      <c r="E1036" s="3450"/>
      <c r="F1036" s="3450"/>
      <c r="G1036" s="3450"/>
    </row>
    <row r="1037" spans="1:7" x14ac:dyDescent="0.3">
      <c r="A1037" s="11" t="s">
        <v>1021</v>
      </c>
      <c r="B1037" s="11" t="s">
        <v>1106</v>
      </c>
      <c r="C1037" s="932">
        <v>1821</v>
      </c>
      <c r="D1037" s="932">
        <v>583627.98859204096</v>
      </c>
      <c r="E1037" s="933">
        <v>9035.2563161306007</v>
      </c>
      <c r="F1037" s="934">
        <v>71.386301556215301</v>
      </c>
      <c r="G1037" s="935">
        <v>1.1051449632788299</v>
      </c>
    </row>
    <row r="1038" spans="1:7" x14ac:dyDescent="0.3">
      <c r="A1038" s="6" t="s">
        <v>1023</v>
      </c>
      <c r="B1038" s="6" t="s">
        <v>1107</v>
      </c>
      <c r="C1038" s="928">
        <v>453</v>
      </c>
      <c r="D1038" s="928">
        <v>233935.01140795901</v>
      </c>
      <c r="E1038" s="929">
        <v>9035.2563161316102</v>
      </c>
      <c r="F1038" s="930">
        <v>28.613698443784699</v>
      </c>
      <c r="G1038" s="931">
        <v>1.1051449632788399</v>
      </c>
    </row>
    <row r="1039" spans="1:7" x14ac:dyDescent="0.3">
      <c r="A1039" s="11" t="s">
        <v>6354</v>
      </c>
      <c r="B1039" s="11" t="s">
        <v>6355</v>
      </c>
      <c r="C1039" s="932">
        <v>2274</v>
      </c>
      <c r="D1039" s="932">
        <v>817563</v>
      </c>
      <c r="E1039" s="933">
        <v>8.3881373882223207E-9</v>
      </c>
      <c r="F1039" s="934">
        <v>100</v>
      </c>
      <c r="G1039" s="935">
        <v>0</v>
      </c>
    </row>
    <row r="1040" spans="1:7" x14ac:dyDescent="0.3">
      <c r="A1040" s="6" t="s">
        <v>6354</v>
      </c>
      <c r="B1040" s="6" t="s">
        <v>6356</v>
      </c>
      <c r="C1040" s="928">
        <v>2274</v>
      </c>
      <c r="D1040" s="928">
        <v>817563</v>
      </c>
      <c r="E1040" s="929">
        <v>0</v>
      </c>
      <c r="F1040" s="930">
        <v>100</v>
      </c>
      <c r="G1040" s="931">
        <v>0</v>
      </c>
    </row>
    <row r="1041" spans="1:7" x14ac:dyDescent="0.3">
      <c r="A1041" s="3449" t="s">
        <v>170</v>
      </c>
      <c r="B1041" s="3450"/>
      <c r="C1041" s="3450"/>
      <c r="D1041" s="3450"/>
      <c r="E1041" s="3450"/>
      <c r="F1041" s="3450"/>
      <c r="G1041" s="3450"/>
    </row>
    <row r="1042" spans="1:7" x14ac:dyDescent="0.3">
      <c r="A1042" s="11" t="s">
        <v>1021</v>
      </c>
      <c r="B1042" s="11" t="s">
        <v>1203</v>
      </c>
      <c r="C1042" s="940">
        <v>463</v>
      </c>
      <c r="D1042" s="940">
        <v>238403.28220564601</v>
      </c>
      <c r="E1042" s="941">
        <v>9052.7456085733502</v>
      </c>
      <c r="F1042" s="942">
        <v>29.1602337930712</v>
      </c>
      <c r="G1042" s="943">
        <v>1.10728416141304</v>
      </c>
    </row>
    <row r="1043" spans="1:7" x14ac:dyDescent="0.3">
      <c r="A1043" s="6" t="s">
        <v>1025</v>
      </c>
      <c r="B1043" s="6" t="s">
        <v>1205</v>
      </c>
      <c r="C1043" s="936">
        <v>658</v>
      </c>
      <c r="D1043" s="936">
        <v>208463.88024545199</v>
      </c>
      <c r="E1043" s="937">
        <v>12574.850803466999</v>
      </c>
      <c r="F1043" s="938">
        <v>25.498203838169399</v>
      </c>
      <c r="G1043" s="939">
        <v>1.53808951768451</v>
      </c>
    </row>
    <row r="1044" spans="1:7" x14ac:dyDescent="0.3">
      <c r="A1044" s="11" t="s">
        <v>1027</v>
      </c>
      <c r="B1044" s="11" t="s">
        <v>1206</v>
      </c>
      <c r="C1044" s="940">
        <v>461</v>
      </c>
      <c r="D1044" s="940">
        <v>156865.278937492</v>
      </c>
      <c r="E1044" s="941">
        <v>9783.2352583630509</v>
      </c>
      <c r="F1044" s="942">
        <v>19.186934699526802</v>
      </c>
      <c r="G1044" s="943">
        <v>1.1966338078365899</v>
      </c>
    </row>
    <row r="1045" spans="1:7" x14ac:dyDescent="0.3">
      <c r="A1045" s="6" t="s">
        <v>1023</v>
      </c>
      <c r="B1045" s="6" t="s">
        <v>1204</v>
      </c>
      <c r="C1045" s="936">
        <v>399</v>
      </c>
      <c r="D1045" s="936">
        <v>111629.10052155</v>
      </c>
      <c r="E1045" s="937">
        <v>10411.555261081499</v>
      </c>
      <c r="F1045" s="938">
        <v>13.653883617721201</v>
      </c>
      <c r="G1045" s="939">
        <v>1.27348660116486</v>
      </c>
    </row>
    <row r="1046" spans="1:7" x14ac:dyDescent="0.3">
      <c r="A1046" s="11" t="s">
        <v>1029</v>
      </c>
      <c r="B1046" s="11" t="s">
        <v>1207</v>
      </c>
      <c r="C1046" s="940">
        <v>293</v>
      </c>
      <c r="D1046" s="940">
        <v>102201.45808985901</v>
      </c>
      <c r="E1046" s="941">
        <v>14133.364150867301</v>
      </c>
      <c r="F1046" s="942">
        <v>12.5007440515115</v>
      </c>
      <c r="G1046" s="943">
        <v>1.72871866154258</v>
      </c>
    </row>
    <row r="1047" spans="1:7" x14ac:dyDescent="0.3">
      <c r="A1047" s="6" t="s">
        <v>6354</v>
      </c>
      <c r="B1047" s="6" t="s">
        <v>6355</v>
      </c>
      <c r="C1047" s="936">
        <v>2274</v>
      </c>
      <c r="D1047" s="936">
        <v>817563</v>
      </c>
      <c r="E1047" s="937">
        <v>2.4363921881253301E-9</v>
      </c>
      <c r="F1047" s="938">
        <v>100</v>
      </c>
      <c r="G1047" s="939">
        <v>1.02786679142825E-14</v>
      </c>
    </row>
    <row r="1048" spans="1:7" x14ac:dyDescent="0.3">
      <c r="A1048" s="11" t="s">
        <v>6354</v>
      </c>
      <c r="B1048" s="11" t="s">
        <v>6356</v>
      </c>
      <c r="C1048" s="940">
        <v>2274</v>
      </c>
      <c r="D1048" s="940">
        <v>817563</v>
      </c>
      <c r="E1048" s="941">
        <v>0</v>
      </c>
      <c r="F1048" s="942">
        <v>100</v>
      </c>
      <c r="G1048" s="943">
        <v>0</v>
      </c>
    </row>
    <row r="1049" spans="1:7" x14ac:dyDescent="0.3">
      <c r="A1049" s="3449" t="s">
        <v>602</v>
      </c>
      <c r="B1049" s="3450"/>
      <c r="C1049" s="3450"/>
      <c r="D1049" s="3450"/>
      <c r="E1049" s="3450"/>
      <c r="F1049" s="3450"/>
      <c r="G1049" s="3450"/>
    </row>
    <row r="1050" spans="1:7" x14ac:dyDescent="0.3">
      <c r="A1050" s="11" t="s">
        <v>1023</v>
      </c>
      <c r="B1050" s="11" t="s">
        <v>6078</v>
      </c>
      <c r="C1050" s="948">
        <v>2172</v>
      </c>
      <c r="D1050" s="948">
        <v>732251.99472131103</v>
      </c>
      <c r="E1050" s="949">
        <v>0.19481618380070101</v>
      </c>
      <c r="F1050" s="950">
        <v>89.565207173185698</v>
      </c>
      <c r="G1050" s="951">
        <v>2.38288909986791E-5</v>
      </c>
    </row>
    <row r="1051" spans="1:7" x14ac:dyDescent="0.3">
      <c r="A1051" s="6" t="s">
        <v>1021</v>
      </c>
      <c r="B1051" s="6" t="s">
        <v>6077</v>
      </c>
      <c r="C1051" s="944">
        <v>102</v>
      </c>
      <c r="D1051" s="944">
        <v>85311.0052786874</v>
      </c>
      <c r="E1051" s="945">
        <v>0.194816198194075</v>
      </c>
      <c r="F1051" s="946">
        <v>10.4347928268143</v>
      </c>
      <c r="G1051" s="947">
        <v>2.38288910772159E-5</v>
      </c>
    </row>
    <row r="1052" spans="1:7" x14ac:dyDescent="0.3">
      <c r="A1052" s="11" t="s">
        <v>6354</v>
      </c>
      <c r="B1052" s="11" t="s">
        <v>6355</v>
      </c>
      <c r="C1052" s="948">
        <v>2274</v>
      </c>
      <c r="D1052" s="948">
        <v>817562.99999999895</v>
      </c>
      <c r="E1052" s="949">
        <v>2.0364649455061901E-8</v>
      </c>
      <c r="F1052" s="950">
        <v>100</v>
      </c>
      <c r="G1052" s="951">
        <v>1.00709966502038E-13</v>
      </c>
    </row>
    <row r="1053" spans="1:7" x14ac:dyDescent="0.3">
      <c r="A1053" s="6" t="s">
        <v>6354</v>
      </c>
      <c r="B1053" s="6" t="s">
        <v>6356</v>
      </c>
      <c r="C1053" s="944">
        <v>2274</v>
      </c>
      <c r="D1053" s="944">
        <v>817562.99999999895</v>
      </c>
      <c r="E1053" s="945">
        <v>0</v>
      </c>
      <c r="F1053" s="946">
        <v>100</v>
      </c>
      <c r="G1053" s="947">
        <v>0</v>
      </c>
    </row>
    <row r="1054" spans="1:7" x14ac:dyDescent="0.3">
      <c r="A1054" s="3449" t="s">
        <v>614</v>
      </c>
      <c r="B1054" s="3450"/>
      <c r="C1054" s="3450"/>
      <c r="D1054" s="3450"/>
      <c r="E1054" s="3450"/>
      <c r="F1054" s="3450"/>
      <c r="G1054" s="3450"/>
    </row>
    <row r="1055" spans="1:7" x14ac:dyDescent="0.3">
      <c r="A1055" s="11" t="s">
        <v>1021</v>
      </c>
      <c r="B1055" s="11" t="s">
        <v>6079</v>
      </c>
      <c r="C1055" s="956">
        <v>1049</v>
      </c>
      <c r="D1055" s="956">
        <v>314663.00163558498</v>
      </c>
      <c r="E1055" s="957">
        <v>3794.53262883967</v>
      </c>
      <c r="F1055" s="958">
        <v>38.487921008605397</v>
      </c>
      <c r="G1055" s="959">
        <v>0.46412724509789699</v>
      </c>
    </row>
    <row r="1056" spans="1:7" x14ac:dyDescent="0.3">
      <c r="A1056" s="6" t="s">
        <v>1025</v>
      </c>
      <c r="B1056" s="6" t="s">
        <v>6081</v>
      </c>
      <c r="C1056" s="952">
        <v>491</v>
      </c>
      <c r="D1056" s="952">
        <v>257437.001766965</v>
      </c>
      <c r="E1056" s="953">
        <v>6042.1476548745604</v>
      </c>
      <c r="F1056" s="954">
        <v>31.488338117914399</v>
      </c>
      <c r="G1056" s="955">
        <v>0.73904367674104499</v>
      </c>
    </row>
    <row r="1057" spans="1:7" x14ac:dyDescent="0.3">
      <c r="A1057" s="11" t="s">
        <v>1023</v>
      </c>
      <c r="B1057" s="11" t="s">
        <v>6080</v>
      </c>
      <c r="C1057" s="956">
        <v>615</v>
      </c>
      <c r="D1057" s="956">
        <v>195339.38636590901</v>
      </c>
      <c r="E1057" s="957">
        <v>5090.9617002756504</v>
      </c>
      <c r="F1057" s="958">
        <v>23.892884874426599</v>
      </c>
      <c r="G1057" s="959">
        <v>0.62269962073572904</v>
      </c>
    </row>
    <row r="1058" spans="1:7" x14ac:dyDescent="0.3">
      <c r="A1058" s="6" t="s">
        <v>1031</v>
      </c>
      <c r="B1058" s="6" t="s">
        <v>6084</v>
      </c>
      <c r="C1058" s="952">
        <v>55</v>
      </c>
      <c r="D1058" s="952">
        <v>21277.482706408198</v>
      </c>
      <c r="E1058" s="953">
        <v>4565.0015618556699</v>
      </c>
      <c r="F1058" s="954">
        <v>2.6025496146973599</v>
      </c>
      <c r="G1058" s="955">
        <v>0.558366946872067</v>
      </c>
    </row>
    <row r="1059" spans="1:7" x14ac:dyDescent="0.3">
      <c r="A1059" s="11" t="s">
        <v>1040</v>
      </c>
      <c r="B1059" s="11" t="s">
        <v>6085</v>
      </c>
      <c r="C1059" s="956">
        <v>22</v>
      </c>
      <c r="D1059" s="956">
        <v>12979.068426154499</v>
      </c>
      <c r="E1059" s="957">
        <v>4529.1229527268397</v>
      </c>
      <c r="F1059" s="958">
        <v>1.5875312882499</v>
      </c>
      <c r="G1059" s="959">
        <v>0.55397846437850495</v>
      </c>
    </row>
    <row r="1060" spans="1:7" x14ac:dyDescent="0.3">
      <c r="A1060" s="6" t="s">
        <v>1027</v>
      </c>
      <c r="B1060" s="6" t="s">
        <v>6082</v>
      </c>
      <c r="C1060" s="952">
        <v>29</v>
      </c>
      <c r="D1060" s="952">
        <v>9840.3789091512608</v>
      </c>
      <c r="E1060" s="953">
        <v>2525.6321136729098</v>
      </c>
      <c r="F1060" s="954">
        <v>1.2036233182214999</v>
      </c>
      <c r="G1060" s="955">
        <v>0.30892201746812298</v>
      </c>
    </row>
    <row r="1061" spans="1:7" x14ac:dyDescent="0.3">
      <c r="A1061" s="11" t="s">
        <v>1029</v>
      </c>
      <c r="B1061" s="11" t="s">
        <v>6083</v>
      </c>
      <c r="C1061" s="956">
        <v>13</v>
      </c>
      <c r="D1061" s="956">
        <v>6026.68018982794</v>
      </c>
      <c r="E1061" s="957">
        <v>4861.7908398712498</v>
      </c>
      <c r="F1061" s="958">
        <v>0.73715177788475506</v>
      </c>
      <c r="G1061" s="959">
        <v>0.59466864814959197</v>
      </c>
    </row>
    <row r="1062" spans="1:7" x14ac:dyDescent="0.3">
      <c r="A1062" s="6" t="s">
        <v>6354</v>
      </c>
      <c r="B1062" s="6" t="s">
        <v>6355</v>
      </c>
      <c r="C1062" s="952">
        <v>2274</v>
      </c>
      <c r="D1062" s="952">
        <v>817563</v>
      </c>
      <c r="E1062" s="953">
        <v>2.4742413228961901E-9</v>
      </c>
      <c r="F1062" s="954">
        <v>100</v>
      </c>
      <c r="G1062" s="955">
        <v>1.01233138679652E-13</v>
      </c>
    </row>
    <row r="1063" spans="1:7" x14ac:dyDescent="0.3">
      <c r="A1063" s="11" t="s">
        <v>6354</v>
      </c>
      <c r="B1063" s="11" t="s">
        <v>6356</v>
      </c>
      <c r="C1063" s="956">
        <v>2274</v>
      </c>
      <c r="D1063" s="956">
        <v>817563</v>
      </c>
      <c r="E1063" s="957">
        <v>0</v>
      </c>
      <c r="F1063" s="958">
        <v>100</v>
      </c>
      <c r="G1063" s="959">
        <v>0</v>
      </c>
    </row>
    <row r="1064" spans="1:7" x14ac:dyDescent="0.3">
      <c r="A1064" s="3449" t="s">
        <v>618</v>
      </c>
      <c r="B1064" s="3450"/>
      <c r="C1064" s="3450"/>
      <c r="D1064" s="3450"/>
      <c r="E1064" s="3450"/>
      <c r="F1064" s="3450"/>
      <c r="G1064" s="3450"/>
    </row>
    <row r="1065" spans="1:7" x14ac:dyDescent="0.3">
      <c r="A1065" s="11" t="s">
        <v>1023</v>
      </c>
      <c r="B1065" s="11" t="s">
        <v>6087</v>
      </c>
      <c r="C1065" s="964">
        <v>1227</v>
      </c>
      <c r="D1065" s="964">
        <v>417542.06538530102</v>
      </c>
      <c r="E1065" s="965">
        <v>1137.35913928166</v>
      </c>
      <c r="F1065" s="966">
        <v>51.227211595050399</v>
      </c>
      <c r="G1065" s="967">
        <v>3.8136821586562002E-2</v>
      </c>
    </row>
    <row r="1066" spans="1:7" x14ac:dyDescent="0.3">
      <c r="A1066" s="6" t="s">
        <v>1021</v>
      </c>
      <c r="B1066" s="6" t="s">
        <v>6086</v>
      </c>
      <c r="C1066" s="960">
        <v>1045</v>
      </c>
      <c r="D1066" s="960">
        <v>397536.58594938298</v>
      </c>
      <c r="E1066" s="961">
        <v>1489.1857518674899</v>
      </c>
      <c r="F1066" s="962">
        <v>48.772788404949601</v>
      </c>
      <c r="G1066" s="963">
        <v>3.8136821586564701E-2</v>
      </c>
    </row>
    <row r="1067" spans="1:7" x14ac:dyDescent="0.3">
      <c r="A1067" s="11" t="s">
        <v>1017</v>
      </c>
      <c r="B1067" s="11" t="s">
        <v>1086</v>
      </c>
      <c r="C1067" s="964">
        <v>2</v>
      </c>
      <c r="D1067" s="964">
        <v>2484.3486653165701</v>
      </c>
      <c r="E1067" s="965">
        <v>2585.66200210631</v>
      </c>
      <c r="F1067" s="966">
        <v>100</v>
      </c>
      <c r="G1067" s="967" t="e">
        <v>#NUM!</v>
      </c>
    </row>
    <row r="1068" spans="1:7" x14ac:dyDescent="0.3">
      <c r="A1068" s="6" t="s">
        <v>6354</v>
      </c>
      <c r="B1068" s="6" t="s">
        <v>6355</v>
      </c>
      <c r="C1068" s="960">
        <v>2272</v>
      </c>
      <c r="D1068" s="960">
        <v>815078.65133468399</v>
      </c>
      <c r="E1068" s="961">
        <v>2585.6620021052199</v>
      </c>
      <c r="F1068" s="962">
        <v>99.696127556492101</v>
      </c>
      <c r="G1068" s="963">
        <v>0.31626455723978403</v>
      </c>
    </row>
    <row r="1069" spans="1:7" x14ac:dyDescent="0.3">
      <c r="A1069" s="11" t="s">
        <v>6354</v>
      </c>
      <c r="B1069" s="11" t="s">
        <v>6356</v>
      </c>
      <c r="C1069" s="964">
        <v>2274</v>
      </c>
      <c r="D1069" s="964">
        <v>817563.00000000105</v>
      </c>
      <c r="E1069" s="965">
        <v>0</v>
      </c>
      <c r="F1069" s="966">
        <v>100</v>
      </c>
      <c r="G1069" s="967">
        <v>0</v>
      </c>
    </row>
    <row r="1070" spans="1:7" x14ac:dyDescent="0.3">
      <c r="A1070" s="3449" t="s">
        <v>610</v>
      </c>
      <c r="B1070" s="3450"/>
      <c r="C1070" s="3450"/>
      <c r="D1070" s="3450"/>
      <c r="E1070" s="3450"/>
      <c r="F1070" s="3450"/>
      <c r="G1070" s="3450"/>
    </row>
    <row r="1071" spans="1:7" x14ac:dyDescent="0.3">
      <c r="A1071" s="11" t="s">
        <v>1021</v>
      </c>
      <c r="B1071" s="11" t="s">
        <v>3056</v>
      </c>
      <c r="C1071" s="972">
        <v>1750</v>
      </c>
      <c r="D1071" s="972">
        <v>605467.30901265005</v>
      </c>
      <c r="E1071" s="973">
        <v>13049.086556870299</v>
      </c>
      <c r="F1071" s="974">
        <v>74.071400214102994</v>
      </c>
      <c r="G1071" s="975">
        <v>1.5889808652188</v>
      </c>
    </row>
    <row r="1072" spans="1:7" x14ac:dyDescent="0.3">
      <c r="A1072" s="6" t="s">
        <v>1031</v>
      </c>
      <c r="B1072" s="6" t="s">
        <v>3061</v>
      </c>
      <c r="C1072" s="968">
        <v>224</v>
      </c>
      <c r="D1072" s="968">
        <v>85307.629633923701</v>
      </c>
      <c r="E1072" s="969">
        <v>9667.9153484543094</v>
      </c>
      <c r="F1072" s="970">
        <v>10.436328240801499</v>
      </c>
      <c r="G1072" s="971">
        <v>1.18403542613686</v>
      </c>
    </row>
    <row r="1073" spans="1:7" x14ac:dyDescent="0.3">
      <c r="A1073" s="11" t="s">
        <v>1023</v>
      </c>
      <c r="B1073" s="11" t="s">
        <v>3057</v>
      </c>
      <c r="C1073" s="972">
        <v>123</v>
      </c>
      <c r="D1073" s="972">
        <v>72927.926903830405</v>
      </c>
      <c r="E1073" s="973">
        <v>0.78349490666255595</v>
      </c>
      <c r="F1073" s="974">
        <v>8.9218254727698501</v>
      </c>
      <c r="G1073" s="975">
        <v>1.72173095740645E-3</v>
      </c>
    </row>
    <row r="1074" spans="1:7" x14ac:dyDescent="0.3">
      <c r="A1074" s="6" t="s">
        <v>1027</v>
      </c>
      <c r="B1074" s="6" t="s">
        <v>3059</v>
      </c>
      <c r="C1074" s="968">
        <v>120</v>
      </c>
      <c r="D1074" s="968">
        <v>32232.675091025201</v>
      </c>
      <c r="E1074" s="969">
        <v>8027.2717257274699</v>
      </c>
      <c r="F1074" s="970">
        <v>3.9432671939495099</v>
      </c>
      <c r="G1074" s="971">
        <v>0.98224489326707398</v>
      </c>
    </row>
    <row r="1075" spans="1:7" x14ac:dyDescent="0.3">
      <c r="A1075" s="11" t="s">
        <v>1025</v>
      </c>
      <c r="B1075" s="11" t="s">
        <v>3058</v>
      </c>
      <c r="C1075" s="972">
        <v>35</v>
      </c>
      <c r="D1075" s="972">
        <v>11940.870583002599</v>
      </c>
      <c r="E1075" s="973">
        <v>5063.8973339006297</v>
      </c>
      <c r="F1075" s="974">
        <v>1.46081710885552</v>
      </c>
      <c r="G1075" s="975">
        <v>0.61948343572473397</v>
      </c>
    </row>
    <row r="1076" spans="1:7" x14ac:dyDescent="0.3">
      <c r="A1076" s="6" t="s">
        <v>1052</v>
      </c>
      <c r="B1076" s="6" t="s">
        <v>3062</v>
      </c>
      <c r="C1076" s="968">
        <v>17</v>
      </c>
      <c r="D1076" s="968">
        <v>8446.3539447950698</v>
      </c>
      <c r="E1076" s="969">
        <v>4473.6857398231105</v>
      </c>
      <c r="F1076" s="970">
        <v>1.0333064297313099</v>
      </c>
      <c r="G1076" s="971">
        <v>0.54725452469951497</v>
      </c>
    </row>
    <row r="1077" spans="1:7" x14ac:dyDescent="0.3">
      <c r="A1077" s="11" t="s">
        <v>1029</v>
      </c>
      <c r="B1077" s="11" t="s">
        <v>3060</v>
      </c>
      <c r="C1077" s="972">
        <v>4</v>
      </c>
      <c r="D1077" s="972">
        <v>1087.60814969226</v>
      </c>
      <c r="E1077" s="973">
        <v>750.56508835446505</v>
      </c>
      <c r="F1077" s="974">
        <v>0.133055339789274</v>
      </c>
      <c r="G1077" s="975">
        <v>9.1822046659459602E-2</v>
      </c>
    </row>
    <row r="1078" spans="1:7" x14ac:dyDescent="0.3">
      <c r="A1078" s="6" t="s">
        <v>1017</v>
      </c>
      <c r="B1078" s="6" t="s">
        <v>3054</v>
      </c>
      <c r="C1078" s="968">
        <v>1</v>
      </c>
      <c r="D1078" s="968">
        <v>152.626681081014</v>
      </c>
      <c r="E1078" s="969">
        <v>157.47768490154999</v>
      </c>
      <c r="F1078" s="970">
        <v>100</v>
      </c>
      <c r="G1078" s="971" t="e">
        <v>#NUM!</v>
      </c>
    </row>
    <row r="1079" spans="1:7" x14ac:dyDescent="0.3">
      <c r="A1079" s="11" t="s">
        <v>6354</v>
      </c>
      <c r="B1079" s="11" t="s">
        <v>6355</v>
      </c>
      <c r="C1079" s="972">
        <v>2273</v>
      </c>
      <c r="D1079" s="972">
        <v>817410.37331891898</v>
      </c>
      <c r="E1079" s="973">
        <v>157.477684900165</v>
      </c>
      <c r="F1079" s="974">
        <v>99.981331508265299</v>
      </c>
      <c r="G1079" s="975">
        <v>1.9261840971469098E-2</v>
      </c>
    </row>
    <row r="1080" spans="1:7" x14ac:dyDescent="0.3">
      <c r="A1080" s="6" t="s">
        <v>6354</v>
      </c>
      <c r="B1080" s="6" t="s">
        <v>6356</v>
      </c>
      <c r="C1080" s="968">
        <v>2274</v>
      </c>
      <c r="D1080" s="968">
        <v>817563</v>
      </c>
      <c r="E1080" s="969">
        <v>0</v>
      </c>
      <c r="F1080" s="970">
        <v>100</v>
      </c>
      <c r="G1080" s="971">
        <v>0</v>
      </c>
    </row>
    <row r="1081" spans="1:7" x14ac:dyDescent="0.3">
      <c r="A1081" s="3449" t="s">
        <v>538</v>
      </c>
      <c r="B1081" s="3450"/>
      <c r="C1081" s="3450"/>
      <c r="D1081" s="3450"/>
      <c r="E1081" s="3450"/>
      <c r="F1081" s="3450"/>
      <c r="G1081" s="3450"/>
    </row>
    <row r="1082" spans="1:7" x14ac:dyDescent="0.3">
      <c r="A1082" s="11" t="s">
        <v>1021</v>
      </c>
      <c r="B1082" s="11" t="s">
        <v>6055</v>
      </c>
      <c r="C1082" s="980">
        <v>943</v>
      </c>
      <c r="D1082" s="980">
        <v>366021.12121287902</v>
      </c>
      <c r="E1082" s="981">
        <v>10411.842694126801</v>
      </c>
      <c r="F1082" s="982">
        <v>57.794355168602401</v>
      </c>
      <c r="G1082" s="983">
        <v>1.87202983604568</v>
      </c>
    </row>
    <row r="1083" spans="1:7" x14ac:dyDescent="0.3">
      <c r="A1083" s="6" t="s">
        <v>1031</v>
      </c>
      <c r="B1083" s="6" t="s">
        <v>6060</v>
      </c>
      <c r="C1083" s="976">
        <v>574</v>
      </c>
      <c r="D1083" s="976">
        <v>99543.676838065701</v>
      </c>
      <c r="E1083" s="977">
        <v>2460.3428898116199</v>
      </c>
      <c r="F1083" s="978">
        <v>15.7178432624432</v>
      </c>
      <c r="G1083" s="979">
        <v>0.43829589494342203</v>
      </c>
    </row>
    <row r="1084" spans="1:7" x14ac:dyDescent="0.3">
      <c r="A1084" s="11" t="s">
        <v>1027</v>
      </c>
      <c r="B1084" s="11" t="s">
        <v>6058</v>
      </c>
      <c r="C1084" s="980">
        <v>124</v>
      </c>
      <c r="D1084" s="980">
        <v>45132.665195138601</v>
      </c>
      <c r="E1084" s="981">
        <v>2067.3138376771799</v>
      </c>
      <c r="F1084" s="982">
        <v>7.1264009938825197</v>
      </c>
      <c r="G1084" s="983">
        <v>0.34237504939427699</v>
      </c>
    </row>
    <row r="1085" spans="1:7" x14ac:dyDescent="0.3">
      <c r="A1085" s="6" t="s">
        <v>1052</v>
      </c>
      <c r="B1085" s="6" t="s">
        <v>1083</v>
      </c>
      <c r="C1085" s="976">
        <v>116</v>
      </c>
      <c r="D1085" s="976">
        <v>42750.437736337699</v>
      </c>
      <c r="E1085" s="977">
        <v>5557.8294276840097</v>
      </c>
      <c r="F1085" s="978">
        <v>6.7502497505058896</v>
      </c>
      <c r="G1085" s="979">
        <v>0.85114365397204395</v>
      </c>
    </row>
    <row r="1086" spans="1:7" x14ac:dyDescent="0.3">
      <c r="A1086" s="11" t="s">
        <v>1029</v>
      </c>
      <c r="B1086" s="11" t="s">
        <v>6059</v>
      </c>
      <c r="C1086" s="980">
        <v>78</v>
      </c>
      <c r="D1086" s="980">
        <v>36719.109318763301</v>
      </c>
      <c r="E1086" s="981">
        <v>6710.5313481204103</v>
      </c>
      <c r="F1086" s="982">
        <v>5.7979092529173597</v>
      </c>
      <c r="G1086" s="983">
        <v>1.0451580740689701</v>
      </c>
    </row>
    <row r="1087" spans="1:7" x14ac:dyDescent="0.3">
      <c r="A1087" s="6" t="s">
        <v>1025</v>
      </c>
      <c r="B1087" s="6" t="s">
        <v>6057</v>
      </c>
      <c r="C1087" s="976">
        <v>67</v>
      </c>
      <c r="D1087" s="976">
        <v>28439.221227731901</v>
      </c>
      <c r="E1087" s="977">
        <v>6030.1402529404304</v>
      </c>
      <c r="F1087" s="978">
        <v>4.4905235165323996</v>
      </c>
      <c r="G1087" s="979">
        <v>0.939349858397031</v>
      </c>
    </row>
    <row r="1088" spans="1:7" x14ac:dyDescent="0.3">
      <c r="A1088" s="11" t="s">
        <v>1023</v>
      </c>
      <c r="B1088" s="11" t="s">
        <v>6056</v>
      </c>
      <c r="C1088" s="980">
        <v>40</v>
      </c>
      <c r="D1088" s="980">
        <v>14710.154033467101</v>
      </c>
      <c r="E1088" s="981">
        <v>2852.9786828024298</v>
      </c>
      <c r="F1088" s="982">
        <v>2.3227180551162498</v>
      </c>
      <c r="G1088" s="983">
        <v>0.44074470582295899</v>
      </c>
    </row>
    <row r="1089" spans="1:7" x14ac:dyDescent="0.3">
      <c r="A1089" s="6" t="s">
        <v>1019</v>
      </c>
      <c r="B1089" s="6" t="s">
        <v>1020</v>
      </c>
      <c r="C1089" s="976">
        <v>332</v>
      </c>
      <c r="D1089" s="976">
        <v>184246.61443761599</v>
      </c>
      <c r="E1089" s="977">
        <v>3576.9196156644798</v>
      </c>
      <c r="F1089" s="978">
        <v>100</v>
      </c>
      <c r="G1089" s="979">
        <v>0</v>
      </c>
    </row>
    <row r="1090" spans="1:7" x14ac:dyDescent="0.3">
      <c r="A1090" s="11" t="s">
        <v>6354</v>
      </c>
      <c r="B1090" s="11" t="s">
        <v>6355</v>
      </c>
      <c r="C1090" s="980">
        <v>1942</v>
      </c>
      <c r="D1090" s="980">
        <v>633316.38556238404</v>
      </c>
      <c r="E1090" s="981">
        <v>3576.9196156643402</v>
      </c>
      <c r="F1090" s="982">
        <v>77.463924561456906</v>
      </c>
      <c r="G1090" s="983">
        <v>0.43750996750886301</v>
      </c>
    </row>
    <row r="1091" spans="1:7" x14ac:dyDescent="0.3">
      <c r="A1091" s="6" t="s">
        <v>6354</v>
      </c>
      <c r="B1091" s="6" t="s">
        <v>6356</v>
      </c>
      <c r="C1091" s="976">
        <v>2274</v>
      </c>
      <c r="D1091" s="976">
        <v>817563</v>
      </c>
      <c r="E1091" s="977">
        <v>0</v>
      </c>
      <c r="F1091" s="978">
        <v>100</v>
      </c>
      <c r="G1091" s="979">
        <v>0</v>
      </c>
    </row>
    <row r="1092" spans="1:7" x14ac:dyDescent="0.3">
      <c r="A1092" s="3449" t="s">
        <v>519</v>
      </c>
      <c r="B1092" s="3450"/>
      <c r="C1092" s="3450"/>
      <c r="D1092" s="3450"/>
      <c r="E1092" s="3450"/>
      <c r="F1092" s="3450"/>
      <c r="G1092" s="3450"/>
    </row>
    <row r="1093" spans="1:7" x14ac:dyDescent="0.3">
      <c r="A1093" s="11" t="s">
        <v>1023</v>
      </c>
      <c r="B1093" s="11" t="s">
        <v>1107</v>
      </c>
      <c r="C1093" s="988">
        <v>910</v>
      </c>
      <c r="D1093" s="988">
        <v>234747.932722909</v>
      </c>
      <c r="E1093" s="989">
        <v>11747.0505384465</v>
      </c>
      <c r="F1093" s="990">
        <v>87.8234536979908</v>
      </c>
      <c r="G1093" s="991">
        <v>1.1890035001874999</v>
      </c>
    </row>
    <row r="1094" spans="1:7" x14ac:dyDescent="0.3">
      <c r="A1094" s="6" t="s">
        <v>1021</v>
      </c>
      <c r="B1094" s="6" t="s">
        <v>1106</v>
      </c>
      <c r="C1094" s="984">
        <v>89</v>
      </c>
      <c r="D1094" s="984">
        <v>32547.3316265953</v>
      </c>
      <c r="E1094" s="985">
        <v>3565.1202376286201</v>
      </c>
      <c r="F1094" s="986">
        <v>12.1765463020092</v>
      </c>
      <c r="G1094" s="987">
        <v>1.1890035001875101</v>
      </c>
    </row>
    <row r="1095" spans="1:7" x14ac:dyDescent="0.3">
      <c r="A1095" s="11" t="s">
        <v>1019</v>
      </c>
      <c r="B1095" s="11" t="s">
        <v>1020</v>
      </c>
      <c r="C1095" s="988">
        <v>1275</v>
      </c>
      <c r="D1095" s="988">
        <v>550267.73565049598</v>
      </c>
      <c r="E1095" s="989">
        <v>13017.815765157</v>
      </c>
      <c r="F1095" s="990">
        <v>100</v>
      </c>
      <c r="G1095" s="991">
        <v>0</v>
      </c>
    </row>
    <row r="1096" spans="1:7" x14ac:dyDescent="0.3">
      <c r="A1096" s="6" t="s">
        <v>6354</v>
      </c>
      <c r="B1096" s="6" t="s">
        <v>6355</v>
      </c>
      <c r="C1096" s="984">
        <v>999</v>
      </c>
      <c r="D1096" s="984">
        <v>267295.26434950402</v>
      </c>
      <c r="E1096" s="985">
        <v>13017.8157651577</v>
      </c>
      <c r="F1096" s="986">
        <v>32.694148872870201</v>
      </c>
      <c r="G1096" s="987">
        <v>1.59227065867187</v>
      </c>
    </row>
    <row r="1097" spans="1:7" x14ac:dyDescent="0.3">
      <c r="A1097" s="11" t="s">
        <v>6354</v>
      </c>
      <c r="B1097" s="11" t="s">
        <v>6356</v>
      </c>
      <c r="C1097" s="988">
        <v>2274</v>
      </c>
      <c r="D1097" s="988">
        <v>817563</v>
      </c>
      <c r="E1097" s="989">
        <v>0</v>
      </c>
      <c r="F1097" s="990">
        <v>100</v>
      </c>
      <c r="G1097" s="991">
        <v>0</v>
      </c>
    </row>
    <row r="1098" spans="1:7" x14ac:dyDescent="0.3">
      <c r="A1098" s="3449" t="s">
        <v>213</v>
      </c>
      <c r="B1098" s="3450"/>
      <c r="C1098" s="3450"/>
      <c r="D1098" s="3450"/>
      <c r="E1098" s="3450"/>
      <c r="F1098" s="3450"/>
      <c r="G1098" s="3450"/>
    </row>
    <row r="1099" spans="1:7" x14ac:dyDescent="0.3">
      <c r="A1099" s="11" t="s">
        <v>1023</v>
      </c>
      <c r="B1099" s="11" t="s">
        <v>1198</v>
      </c>
      <c r="C1099" s="996">
        <v>945</v>
      </c>
      <c r="D1099" s="996">
        <v>369821.89081522397</v>
      </c>
      <c r="E1099" s="997">
        <v>8479.8324860527591</v>
      </c>
      <c r="F1099" s="998">
        <v>92.787547077683996</v>
      </c>
      <c r="G1099" s="999">
        <v>0.89980387098361103</v>
      </c>
    </row>
    <row r="1100" spans="1:7" x14ac:dyDescent="0.3">
      <c r="A1100" s="6" t="s">
        <v>1021</v>
      </c>
      <c r="B1100" s="6" t="s">
        <v>1106</v>
      </c>
      <c r="C1100" s="992">
        <v>87</v>
      </c>
      <c r="D1100" s="992">
        <v>28746.562024250299</v>
      </c>
      <c r="E1100" s="993">
        <v>3833.9465585573298</v>
      </c>
      <c r="F1100" s="994">
        <v>7.2124529223159799</v>
      </c>
      <c r="G1100" s="995">
        <v>0.89980387098360204</v>
      </c>
    </row>
    <row r="1101" spans="1:7" x14ac:dyDescent="0.3">
      <c r="A1101" s="11" t="s">
        <v>1019</v>
      </c>
      <c r="B1101" s="11" t="s">
        <v>1020</v>
      </c>
      <c r="C1101" s="996">
        <v>1242</v>
      </c>
      <c r="D1101" s="996">
        <v>418994.54716052598</v>
      </c>
      <c r="E1101" s="997">
        <v>9411.4842675537693</v>
      </c>
      <c r="F1101" s="998">
        <v>100</v>
      </c>
      <c r="G1101" s="999">
        <v>0</v>
      </c>
    </row>
    <row r="1102" spans="1:7" x14ac:dyDescent="0.3">
      <c r="A1102" s="6" t="s">
        <v>6354</v>
      </c>
      <c r="B1102" s="6" t="s">
        <v>6355</v>
      </c>
      <c r="C1102" s="992">
        <v>1032</v>
      </c>
      <c r="D1102" s="992">
        <v>398568.45283947501</v>
      </c>
      <c r="E1102" s="993">
        <v>9411.4842675523796</v>
      </c>
      <c r="F1102" s="994">
        <v>48.750793864139403</v>
      </c>
      <c r="G1102" s="995">
        <v>1.1511631846785</v>
      </c>
    </row>
    <row r="1103" spans="1:7" x14ac:dyDescent="0.3">
      <c r="A1103" s="11" t="s">
        <v>6354</v>
      </c>
      <c r="B1103" s="11" t="s">
        <v>6356</v>
      </c>
      <c r="C1103" s="996">
        <v>2274</v>
      </c>
      <c r="D1103" s="996">
        <v>817563.00000000105</v>
      </c>
      <c r="E1103" s="997">
        <v>0</v>
      </c>
      <c r="F1103" s="998">
        <v>100</v>
      </c>
      <c r="G1103" s="999">
        <v>0</v>
      </c>
    </row>
    <row r="1104" spans="1:7" x14ac:dyDescent="0.3">
      <c r="A1104" s="3449" t="s">
        <v>975</v>
      </c>
      <c r="B1104" s="3450"/>
      <c r="C1104" s="3450"/>
      <c r="D1104" s="3450"/>
      <c r="E1104" s="3450"/>
      <c r="F1104" s="3450"/>
      <c r="G1104" s="3450"/>
    </row>
    <row r="1105" spans="1:7" x14ac:dyDescent="0.3">
      <c r="A1105" s="11" t="s">
        <v>1023</v>
      </c>
      <c r="B1105" s="11" t="s">
        <v>1107</v>
      </c>
      <c r="C1105" s="1004">
        <v>925</v>
      </c>
      <c r="D1105" s="1004">
        <v>365983.368780085</v>
      </c>
      <c r="E1105" s="1005">
        <v>9461.08750436843</v>
      </c>
      <c r="F1105" s="1006">
        <v>91.824469842696502</v>
      </c>
      <c r="G1105" s="1007">
        <v>0.83048225936697395</v>
      </c>
    </row>
    <row r="1106" spans="1:7" x14ac:dyDescent="0.3">
      <c r="A1106" s="6" t="s">
        <v>1021</v>
      </c>
      <c r="B1106" s="6" t="s">
        <v>1106</v>
      </c>
      <c r="C1106" s="1000">
        <v>107</v>
      </c>
      <c r="D1106" s="1000">
        <v>32585.084059389101</v>
      </c>
      <c r="E1106" s="1001">
        <v>3335.57333028329</v>
      </c>
      <c r="F1106" s="1002">
        <v>8.17553015730347</v>
      </c>
      <c r="G1106" s="1003">
        <v>0.83048225936697395</v>
      </c>
    </row>
    <row r="1107" spans="1:7" x14ac:dyDescent="0.3">
      <c r="A1107" s="11" t="s">
        <v>1019</v>
      </c>
      <c r="B1107" s="11" t="s">
        <v>1020</v>
      </c>
      <c r="C1107" s="1004">
        <v>1242</v>
      </c>
      <c r="D1107" s="1004">
        <v>418994.54716052598</v>
      </c>
      <c r="E1107" s="1005">
        <v>9411.4842675537693</v>
      </c>
      <c r="F1107" s="1006">
        <v>100</v>
      </c>
      <c r="G1107" s="1007">
        <v>0</v>
      </c>
    </row>
    <row r="1108" spans="1:7" x14ac:dyDescent="0.3">
      <c r="A1108" s="6" t="s">
        <v>6354</v>
      </c>
      <c r="B1108" s="6" t="s">
        <v>6355</v>
      </c>
      <c r="C1108" s="1000">
        <v>1032</v>
      </c>
      <c r="D1108" s="1000">
        <v>398568.45283947501</v>
      </c>
      <c r="E1108" s="1001">
        <v>9411.4842675525997</v>
      </c>
      <c r="F1108" s="1002">
        <v>48.750793864139403</v>
      </c>
      <c r="G1108" s="1003">
        <v>1.15116318467852</v>
      </c>
    </row>
    <row r="1109" spans="1:7" x14ac:dyDescent="0.3">
      <c r="A1109" s="11" t="s">
        <v>6354</v>
      </c>
      <c r="B1109" s="11" t="s">
        <v>6356</v>
      </c>
      <c r="C1109" s="1004">
        <v>2274</v>
      </c>
      <c r="D1109" s="1004">
        <v>817563.00000000105</v>
      </c>
      <c r="E1109" s="1005">
        <v>0</v>
      </c>
      <c r="F1109" s="1006">
        <v>100</v>
      </c>
      <c r="G1109" s="1007">
        <v>0</v>
      </c>
    </row>
    <row r="1110" spans="1:7" x14ac:dyDescent="0.3">
      <c r="A1110" s="3449" t="s">
        <v>955</v>
      </c>
      <c r="B1110" s="3450"/>
      <c r="C1110" s="3450"/>
      <c r="D1110" s="3450"/>
      <c r="E1110" s="3450"/>
      <c r="F1110" s="3450"/>
      <c r="G1110" s="3450"/>
    </row>
    <row r="1111" spans="1:7" x14ac:dyDescent="0.3">
      <c r="A1111" s="11" t="s">
        <v>1021</v>
      </c>
      <c r="B1111" s="11" t="s">
        <v>6249</v>
      </c>
      <c r="C1111" s="1012">
        <v>828</v>
      </c>
      <c r="D1111" s="1012">
        <v>321424.52218146098</v>
      </c>
      <c r="E1111" s="1013">
        <v>9087.1107300103395</v>
      </c>
      <c r="F1111" s="1014">
        <v>80.644747443399993</v>
      </c>
      <c r="G1111" s="1015">
        <v>1.7180194347731601</v>
      </c>
    </row>
    <row r="1112" spans="1:7" x14ac:dyDescent="0.3">
      <c r="A1112" s="6" t="s">
        <v>1023</v>
      </c>
      <c r="B1112" s="6" t="s">
        <v>6250</v>
      </c>
      <c r="C1112" s="1008">
        <v>204</v>
      </c>
      <c r="D1112" s="1008">
        <v>77143.9306580134</v>
      </c>
      <c r="E1112" s="1009">
        <v>7437.1679316305699</v>
      </c>
      <c r="F1112" s="1010">
        <v>19.3552525566</v>
      </c>
      <c r="G1112" s="1011">
        <v>1.7180194347731601</v>
      </c>
    </row>
    <row r="1113" spans="1:7" x14ac:dyDescent="0.3">
      <c r="A1113" s="11" t="s">
        <v>1019</v>
      </c>
      <c r="B1113" s="11" t="s">
        <v>1020</v>
      </c>
      <c r="C1113" s="1012">
        <v>1242</v>
      </c>
      <c r="D1113" s="1012">
        <v>418994.54716052598</v>
      </c>
      <c r="E1113" s="1013">
        <v>9411.4842675537693</v>
      </c>
      <c r="F1113" s="1014">
        <v>100</v>
      </c>
      <c r="G1113" s="1015">
        <v>0</v>
      </c>
    </row>
    <row r="1114" spans="1:7" x14ac:dyDescent="0.3">
      <c r="A1114" s="6" t="s">
        <v>6354</v>
      </c>
      <c r="B1114" s="6" t="s">
        <v>6355</v>
      </c>
      <c r="C1114" s="1008">
        <v>1032</v>
      </c>
      <c r="D1114" s="1008">
        <v>398568.45283947501</v>
      </c>
      <c r="E1114" s="1009">
        <v>9411.4842675524997</v>
      </c>
      <c r="F1114" s="1010">
        <v>48.750793864139403</v>
      </c>
      <c r="G1114" s="1011">
        <v>1.15116318467851</v>
      </c>
    </row>
    <row r="1115" spans="1:7" x14ac:dyDescent="0.3">
      <c r="A1115" s="11" t="s">
        <v>6354</v>
      </c>
      <c r="B1115" s="11" t="s">
        <v>6356</v>
      </c>
      <c r="C1115" s="1012">
        <v>2274</v>
      </c>
      <c r="D1115" s="1012">
        <v>817563.00000000105</v>
      </c>
      <c r="E1115" s="1013">
        <v>0</v>
      </c>
      <c r="F1115" s="1014">
        <v>100</v>
      </c>
      <c r="G1115" s="1015">
        <v>0</v>
      </c>
    </row>
    <row r="1116" spans="1:7" x14ac:dyDescent="0.3">
      <c r="A1116" s="3449" t="s">
        <v>985</v>
      </c>
      <c r="B1116" s="3450"/>
      <c r="C1116" s="3450"/>
      <c r="D1116" s="3450"/>
      <c r="E1116" s="3450"/>
      <c r="F1116" s="3450"/>
      <c r="G1116" s="3450"/>
    </row>
    <row r="1117" spans="1:7" x14ac:dyDescent="0.3">
      <c r="A1117" s="11" t="s">
        <v>1025</v>
      </c>
      <c r="B1117" s="11" t="s">
        <v>6116</v>
      </c>
      <c r="C1117" s="1020">
        <v>581</v>
      </c>
      <c r="D1117" s="1020">
        <v>245438.74575618701</v>
      </c>
      <c r="E1117" s="1021">
        <v>12246.5849307724</v>
      </c>
      <c r="F1117" s="1022">
        <v>67.121748250904602</v>
      </c>
      <c r="G1117" s="1023">
        <v>2.7192405558579602</v>
      </c>
    </row>
    <row r="1118" spans="1:7" x14ac:dyDescent="0.3">
      <c r="A1118" s="6" t="s">
        <v>1031</v>
      </c>
      <c r="B1118" s="6" t="s">
        <v>6118</v>
      </c>
      <c r="C1118" s="1016">
        <v>152</v>
      </c>
      <c r="D1118" s="1016">
        <v>50737.809017273699</v>
      </c>
      <c r="E1118" s="1017">
        <v>6827.4843676322398</v>
      </c>
      <c r="F1118" s="1018">
        <v>13.875602375523</v>
      </c>
      <c r="G1118" s="1019">
        <v>1.9594236634756299</v>
      </c>
    </row>
    <row r="1119" spans="1:7" x14ac:dyDescent="0.3">
      <c r="A1119" s="11" t="s">
        <v>1027</v>
      </c>
      <c r="B1119" s="11" t="s">
        <v>6117</v>
      </c>
      <c r="C1119" s="1020">
        <v>149</v>
      </c>
      <c r="D1119" s="1020">
        <v>47659.882663991397</v>
      </c>
      <c r="E1119" s="1021">
        <v>3534.34837424648</v>
      </c>
      <c r="F1119" s="1022">
        <v>13.0338616096821</v>
      </c>
      <c r="G1119" s="1023">
        <v>0.89115960396764704</v>
      </c>
    </row>
    <row r="1120" spans="1:7" x14ac:dyDescent="0.3">
      <c r="A1120" s="6" t="s">
        <v>1052</v>
      </c>
      <c r="B1120" s="6" t="s">
        <v>1053</v>
      </c>
      <c r="C1120" s="1016">
        <v>9</v>
      </c>
      <c r="D1120" s="1016">
        <v>7773.2323349550798</v>
      </c>
      <c r="E1120" s="1017">
        <v>4565.0183370074601</v>
      </c>
      <c r="F1120" s="1018">
        <v>2.1257969774704799</v>
      </c>
      <c r="G1120" s="1019">
        <v>1.21969321592889</v>
      </c>
    </row>
    <row r="1121" spans="1:7" x14ac:dyDescent="0.3">
      <c r="A1121" s="11" t="s">
        <v>1029</v>
      </c>
      <c r="B1121" s="11" t="s">
        <v>6138</v>
      </c>
      <c r="C1121" s="1020">
        <v>14</v>
      </c>
      <c r="D1121" s="1020">
        <v>5730.2578894531698</v>
      </c>
      <c r="E1121" s="1021">
        <v>1874.3566871799001</v>
      </c>
      <c r="F1121" s="1022">
        <v>1.5670913175652901</v>
      </c>
      <c r="G1121" s="1023">
        <v>0.49440392550085899</v>
      </c>
    </row>
    <row r="1122" spans="1:7" x14ac:dyDescent="0.3">
      <c r="A1122" s="6" t="s">
        <v>1021</v>
      </c>
      <c r="B1122" s="6" t="s">
        <v>890</v>
      </c>
      <c r="C1122" s="1016">
        <v>6</v>
      </c>
      <c r="D1122" s="1016">
        <v>3813.8483089432402</v>
      </c>
      <c r="E1122" s="1017">
        <v>2320.7324103722199</v>
      </c>
      <c r="F1122" s="1018">
        <v>1.04299818380886</v>
      </c>
      <c r="G1122" s="1019">
        <v>0.64665804325373299</v>
      </c>
    </row>
    <row r="1123" spans="1:7" x14ac:dyDescent="0.3">
      <c r="A1123" s="11" t="s">
        <v>1023</v>
      </c>
      <c r="B1123" s="11" t="s">
        <v>1049</v>
      </c>
      <c r="C1123" s="1020">
        <v>1</v>
      </c>
      <c r="D1123" s="1020">
        <v>1874.23081582552</v>
      </c>
      <c r="E1123" s="1021">
        <v>1921.84058251136</v>
      </c>
      <c r="F1123" s="1022">
        <v>0.51255822953437302</v>
      </c>
      <c r="G1123" s="1023">
        <v>0.52405408381119001</v>
      </c>
    </row>
    <row r="1124" spans="1:7" x14ac:dyDescent="0.3">
      <c r="A1124" s="6" t="s">
        <v>1065</v>
      </c>
      <c r="B1124" s="6" t="s">
        <v>6144</v>
      </c>
      <c r="C1124" s="1016">
        <v>4</v>
      </c>
      <c r="D1124" s="1016">
        <v>985.85478319727804</v>
      </c>
      <c r="E1124" s="1017">
        <v>631.35496491191202</v>
      </c>
      <c r="F1124" s="1018">
        <v>0.26960819232449901</v>
      </c>
      <c r="G1124" s="1019">
        <v>0.172700853794239</v>
      </c>
    </row>
    <row r="1125" spans="1:7" x14ac:dyDescent="0.3">
      <c r="A1125" s="11" t="s">
        <v>1081</v>
      </c>
      <c r="B1125" s="11" t="s">
        <v>6131</v>
      </c>
      <c r="C1125" s="1020">
        <v>3</v>
      </c>
      <c r="D1125" s="1020">
        <v>741.30784027105096</v>
      </c>
      <c r="E1125" s="1021">
        <v>773.01124454552996</v>
      </c>
      <c r="F1125" s="1022">
        <v>0.20273033125961101</v>
      </c>
      <c r="G1125" s="1023">
        <v>0.211886831126021</v>
      </c>
    </row>
    <row r="1126" spans="1:7" x14ac:dyDescent="0.3">
      <c r="A1126" s="6" t="s">
        <v>1063</v>
      </c>
      <c r="B1126" s="6" t="s">
        <v>6122</v>
      </c>
      <c r="C1126" s="1016">
        <v>2</v>
      </c>
      <c r="D1126" s="1016">
        <v>639.85219944501398</v>
      </c>
      <c r="E1126" s="1017">
        <v>579.98329819875903</v>
      </c>
      <c r="F1126" s="1018">
        <v>0.17498458980718301</v>
      </c>
      <c r="G1126" s="1019">
        <v>0.158722639382397</v>
      </c>
    </row>
    <row r="1127" spans="1:7" x14ac:dyDescent="0.3">
      <c r="A1127" s="11" t="s">
        <v>1042</v>
      </c>
      <c r="B1127" s="11" t="s">
        <v>6120</v>
      </c>
      <c r="C1127" s="1020">
        <v>2</v>
      </c>
      <c r="D1127" s="1020">
        <v>209.655619499088</v>
      </c>
      <c r="E1127" s="1021">
        <v>212.71922603128701</v>
      </c>
      <c r="F1127" s="1022">
        <v>5.73359013388395E-2</v>
      </c>
      <c r="G1127" s="1023">
        <v>5.80272988004608E-2</v>
      </c>
    </row>
    <row r="1128" spans="1:7" x14ac:dyDescent="0.3">
      <c r="A1128" s="6" t="s">
        <v>1061</v>
      </c>
      <c r="B1128" s="6" t="s">
        <v>6142</v>
      </c>
      <c r="C1128" s="1016">
        <v>1</v>
      </c>
      <c r="D1128" s="1016">
        <v>57.350581563211399</v>
      </c>
      <c r="E1128" s="1017">
        <v>57.329999223161202</v>
      </c>
      <c r="F1128" s="1018">
        <v>1.5684040781209101E-2</v>
      </c>
      <c r="G1128" s="1019">
        <v>1.5670437852647399E-2</v>
      </c>
    </row>
    <row r="1129" spans="1:7" x14ac:dyDescent="0.3">
      <c r="A1129" s="11" t="s">
        <v>1019</v>
      </c>
      <c r="B1129" s="11" t="s">
        <v>1020</v>
      </c>
      <c r="C1129" s="1020">
        <v>1348</v>
      </c>
      <c r="D1129" s="1020">
        <v>451223.621023299</v>
      </c>
      <c r="E1129" s="1021">
        <v>9695.3541925789705</v>
      </c>
      <c r="F1129" s="1022">
        <v>99.850110708366998</v>
      </c>
      <c r="G1129" s="1023">
        <v>0.15956863742887301</v>
      </c>
    </row>
    <row r="1130" spans="1:7" x14ac:dyDescent="0.3">
      <c r="A1130" s="6" t="s">
        <v>1017</v>
      </c>
      <c r="B1130" s="6" t="s">
        <v>1018</v>
      </c>
      <c r="C1130" s="1016">
        <v>1</v>
      </c>
      <c r="D1130" s="1016">
        <v>677.35116609708098</v>
      </c>
      <c r="E1130" s="1017">
        <v>718.18189515510096</v>
      </c>
      <c r="F1130" s="1018">
        <v>0.14988929163294601</v>
      </c>
      <c r="G1130" s="1019">
        <v>0.15956863742886801</v>
      </c>
    </row>
    <row r="1131" spans="1:7" x14ac:dyDescent="0.3">
      <c r="A1131" s="11" t="s">
        <v>6354</v>
      </c>
      <c r="B1131" s="11" t="s">
        <v>6355</v>
      </c>
      <c r="C1131" s="1020">
        <v>924</v>
      </c>
      <c r="D1131" s="1020">
        <v>365662.02781060402</v>
      </c>
      <c r="E1131" s="1021">
        <v>9153.4900570877107</v>
      </c>
      <c r="F1131" s="1022">
        <v>44.725853274989703</v>
      </c>
      <c r="G1131" s="1023">
        <v>1.11960669172752</v>
      </c>
    </row>
    <row r="1132" spans="1:7" x14ac:dyDescent="0.3">
      <c r="A1132" s="6" t="s">
        <v>6354</v>
      </c>
      <c r="B1132" s="6" t="s">
        <v>6356</v>
      </c>
      <c r="C1132" s="1016">
        <v>2273</v>
      </c>
      <c r="D1132" s="1016">
        <v>817563.00000000105</v>
      </c>
      <c r="E1132" s="1017">
        <v>0</v>
      </c>
      <c r="F1132" s="1018">
        <v>100</v>
      </c>
      <c r="G1132" s="1019">
        <v>0</v>
      </c>
    </row>
    <row r="1133" spans="1:7" x14ac:dyDescent="0.3">
      <c r="A1133" s="3449" t="s">
        <v>988</v>
      </c>
      <c r="B1133" s="3450"/>
      <c r="C1133" s="3450"/>
      <c r="D1133" s="3450"/>
      <c r="E1133" s="3450"/>
      <c r="F1133" s="3450"/>
      <c r="G1133" s="3450"/>
    </row>
    <row r="1134" spans="1:7" x14ac:dyDescent="0.3">
      <c r="A1134" s="11" t="s">
        <v>6463</v>
      </c>
      <c r="B1134" s="11"/>
      <c r="C1134" s="1028">
        <v>6</v>
      </c>
      <c r="D1134" s="1028">
        <v>6699.58332327675</v>
      </c>
      <c r="E1134" s="1029">
        <v>5005.6012447412604</v>
      </c>
      <c r="F1134" s="1030">
        <v>86.187869274789506</v>
      </c>
      <c r="G1134" s="1031">
        <v>16.9809262335745</v>
      </c>
    </row>
    <row r="1135" spans="1:7" x14ac:dyDescent="0.3">
      <c r="A1135" s="6" t="s">
        <v>6464</v>
      </c>
      <c r="B1135" s="6"/>
      <c r="C1135" s="1024">
        <v>1</v>
      </c>
      <c r="D1135" s="1024">
        <v>848.14276424275602</v>
      </c>
      <c r="E1135" s="1025">
        <v>833.50661087237097</v>
      </c>
      <c r="F1135" s="1026">
        <v>10.9110692655973</v>
      </c>
      <c r="G1135" s="1027">
        <v>14.360010126651501</v>
      </c>
    </row>
    <row r="1136" spans="1:7" x14ac:dyDescent="0.3">
      <c r="A1136" s="11" t="s">
        <v>6465</v>
      </c>
      <c r="B1136" s="11"/>
      <c r="C1136" s="1028">
        <v>1</v>
      </c>
      <c r="D1136" s="1028">
        <v>225.506247435571</v>
      </c>
      <c r="E1136" s="1029">
        <v>262.26453384594402</v>
      </c>
      <c r="F1136" s="1030">
        <v>2.9010614596131701</v>
      </c>
      <c r="G1136" s="1031">
        <v>4.3125425253148899</v>
      </c>
    </row>
    <row r="1137" spans="1:7" x14ac:dyDescent="0.3">
      <c r="A1137" s="6" t="s">
        <v>1019</v>
      </c>
      <c r="B1137" s="6" t="s">
        <v>1020</v>
      </c>
      <c r="C1137" s="1024">
        <v>2265</v>
      </c>
      <c r="D1137" s="1024">
        <v>809789.76766504301</v>
      </c>
      <c r="E1137" s="1025">
        <v>4565.0183370075802</v>
      </c>
      <c r="F1137" s="1026">
        <v>100</v>
      </c>
      <c r="G1137" s="1027">
        <v>0</v>
      </c>
    </row>
    <row r="1138" spans="1:7" x14ac:dyDescent="0.3">
      <c r="A1138" s="11" t="s">
        <v>6354</v>
      </c>
      <c r="B1138" s="11" t="s">
        <v>6355</v>
      </c>
      <c r="C1138" s="1028">
        <v>8</v>
      </c>
      <c r="D1138" s="1028">
        <v>7773.2323349550798</v>
      </c>
      <c r="E1138" s="1029">
        <v>4565.0183370074601</v>
      </c>
      <c r="F1138" s="1030">
        <v>0.95078083706761296</v>
      </c>
      <c r="G1138" s="1031">
        <v>0.55836899872027701</v>
      </c>
    </row>
    <row r="1139" spans="1:7" x14ac:dyDescent="0.3">
      <c r="A1139" s="6" t="s">
        <v>6354</v>
      </c>
      <c r="B1139" s="6" t="s">
        <v>6356</v>
      </c>
      <c r="C1139" s="1024">
        <v>2273</v>
      </c>
      <c r="D1139" s="1024">
        <v>817562.99999999802</v>
      </c>
      <c r="E1139" s="1025">
        <v>0</v>
      </c>
      <c r="F1139" s="1026">
        <v>100</v>
      </c>
      <c r="G1139" s="1027">
        <v>0</v>
      </c>
    </row>
    <row r="1140" spans="1:7" x14ac:dyDescent="0.3">
      <c r="A1140" s="3449" t="s">
        <v>408</v>
      </c>
      <c r="B1140" s="3450"/>
      <c r="C1140" s="3450"/>
      <c r="D1140" s="3450"/>
      <c r="E1140" s="3450"/>
      <c r="F1140" s="3450"/>
      <c r="G1140" s="3450"/>
    </row>
    <row r="1141" spans="1:7" x14ac:dyDescent="0.3">
      <c r="A1141" s="11" t="s">
        <v>1021</v>
      </c>
      <c r="B1141" s="11" t="s">
        <v>3197</v>
      </c>
      <c r="C1141" s="1036">
        <v>164</v>
      </c>
      <c r="D1141" s="1036">
        <v>44497.970478253003</v>
      </c>
      <c r="E1141" s="1037">
        <v>6419.0637374948601</v>
      </c>
      <c r="F1141" s="1038">
        <v>45.093004313795802</v>
      </c>
      <c r="G1141" s="1039">
        <v>4.4327789458118101</v>
      </c>
    </row>
    <row r="1142" spans="1:7" x14ac:dyDescent="0.3">
      <c r="A1142" s="6" t="s">
        <v>1023</v>
      </c>
      <c r="B1142" s="6" t="s">
        <v>3198</v>
      </c>
      <c r="C1142" s="1032">
        <v>139</v>
      </c>
      <c r="D1142" s="1032">
        <v>33898.758109619099</v>
      </c>
      <c r="E1142" s="1033">
        <v>5974.1280172828401</v>
      </c>
      <c r="F1142" s="1034">
        <v>34.352057616120398</v>
      </c>
      <c r="G1142" s="1035">
        <v>3.9350106917923902</v>
      </c>
    </row>
    <row r="1143" spans="1:7" x14ac:dyDescent="0.3">
      <c r="A1143" s="11" t="s">
        <v>1029</v>
      </c>
      <c r="B1143" s="11" t="s">
        <v>3201</v>
      </c>
      <c r="C1143" s="1036">
        <v>21</v>
      </c>
      <c r="D1143" s="1036">
        <v>7888.2575261513202</v>
      </c>
      <c r="E1143" s="1037">
        <v>3438.2369785221299</v>
      </c>
      <c r="F1143" s="1038">
        <v>7.9937405421425503</v>
      </c>
      <c r="G1143" s="1039">
        <v>3.6888692689487401</v>
      </c>
    </row>
    <row r="1144" spans="1:7" x14ac:dyDescent="0.3">
      <c r="A1144" s="6" t="s">
        <v>1027</v>
      </c>
      <c r="B1144" s="6" t="s">
        <v>3200</v>
      </c>
      <c r="C1144" s="1032">
        <v>15</v>
      </c>
      <c r="D1144" s="1032">
        <v>6795.5342122321399</v>
      </c>
      <c r="E1144" s="1033">
        <v>3804.40323594028</v>
      </c>
      <c r="F1144" s="1034">
        <v>6.8864051608036601</v>
      </c>
      <c r="G1144" s="1035">
        <v>4.22731163304163</v>
      </c>
    </row>
    <row r="1145" spans="1:7" x14ac:dyDescent="0.3">
      <c r="A1145" s="11" t="s">
        <v>1025</v>
      </c>
      <c r="B1145" s="11" t="s">
        <v>3199</v>
      </c>
      <c r="C1145" s="1036">
        <v>25</v>
      </c>
      <c r="D1145" s="1036">
        <v>5599.9094996172498</v>
      </c>
      <c r="E1145" s="1037">
        <v>3086.1567191867798</v>
      </c>
      <c r="F1145" s="1038">
        <v>5.6747923671376501</v>
      </c>
      <c r="G1145" s="1039">
        <v>3.1156713489774202</v>
      </c>
    </row>
    <row r="1146" spans="1:7" x14ac:dyDescent="0.3">
      <c r="A1146" s="6" t="s">
        <v>1044</v>
      </c>
      <c r="B1146" s="6" t="s">
        <v>1045</v>
      </c>
      <c r="C1146" s="1032">
        <v>1813</v>
      </c>
      <c r="D1146" s="1032">
        <v>658579.34253487503</v>
      </c>
      <c r="E1146" s="1033">
        <v>10057.496577185</v>
      </c>
      <c r="F1146" s="1034">
        <v>91.611532934419998</v>
      </c>
      <c r="G1146" s="1035">
        <v>0.33673909869430901</v>
      </c>
    </row>
    <row r="1147" spans="1:7" x14ac:dyDescent="0.3">
      <c r="A1147" s="11" t="s">
        <v>1019</v>
      </c>
      <c r="B1147" s="11"/>
      <c r="C1147" s="1036">
        <v>93</v>
      </c>
      <c r="D1147" s="1036">
        <v>58538.954788752002</v>
      </c>
      <c r="E1147" s="1037">
        <v>0.34436598578877903</v>
      </c>
      <c r="F1147" s="1038">
        <v>8.1430482831949504</v>
      </c>
      <c r="G1147" s="1039">
        <v>9.7816146865856601E-2</v>
      </c>
    </row>
    <row r="1148" spans="1:7" x14ac:dyDescent="0.3">
      <c r="A1148" s="6" t="s">
        <v>1017</v>
      </c>
      <c r="B1148" s="6" t="s">
        <v>1018</v>
      </c>
      <c r="C1148" s="1032">
        <v>1</v>
      </c>
      <c r="D1148" s="1032">
        <v>1342.4141158115301</v>
      </c>
      <c r="E1148" s="1033">
        <v>1489.1813491338</v>
      </c>
      <c r="F1148" s="1034">
        <v>0.18673621694380099</v>
      </c>
      <c r="G1148" s="1035">
        <v>0.20754329620817599</v>
      </c>
    </row>
    <row r="1149" spans="1:7" x14ac:dyDescent="0.3">
      <c r="A1149" s="11" t="s">
        <v>1015</v>
      </c>
      <c r="B1149" s="11" t="s">
        <v>1016</v>
      </c>
      <c r="C1149" s="1036">
        <v>3</v>
      </c>
      <c r="D1149" s="1036">
        <v>421.85873468826401</v>
      </c>
      <c r="E1149" s="1037">
        <v>446.247470871247</v>
      </c>
      <c r="F1149" s="1038">
        <v>5.8682565441262803E-2</v>
      </c>
      <c r="G1149" s="1039">
        <v>6.2024794208986898E-2</v>
      </c>
    </row>
    <row r="1150" spans="1:7" x14ac:dyDescent="0.3">
      <c r="A1150" s="6" t="s">
        <v>6354</v>
      </c>
      <c r="B1150" s="6" t="s">
        <v>6355</v>
      </c>
      <c r="C1150" s="1032">
        <v>364</v>
      </c>
      <c r="D1150" s="1032">
        <v>98680.429825872794</v>
      </c>
      <c r="E1150" s="1033">
        <v>8652.9429308537492</v>
      </c>
      <c r="F1150" s="1034">
        <v>12.0700704197564</v>
      </c>
      <c r="G1150" s="1035">
        <v>1.0583824036623199</v>
      </c>
    </row>
    <row r="1151" spans="1:7" x14ac:dyDescent="0.3">
      <c r="A1151" s="11" t="s">
        <v>6354</v>
      </c>
      <c r="B1151" s="11" t="s">
        <v>6356</v>
      </c>
      <c r="C1151" s="1036">
        <v>2274</v>
      </c>
      <c r="D1151" s="1036">
        <v>817563</v>
      </c>
      <c r="E1151" s="1037">
        <v>0</v>
      </c>
      <c r="F1151" s="1038">
        <v>100</v>
      </c>
      <c r="G1151" s="1039">
        <v>0</v>
      </c>
    </row>
    <row r="1152" spans="1:7" x14ac:dyDescent="0.3">
      <c r="A1152" s="3449" t="s">
        <v>460</v>
      </c>
      <c r="B1152" s="3450"/>
      <c r="C1152" s="3450"/>
      <c r="D1152" s="3450"/>
      <c r="E1152" s="3450"/>
      <c r="F1152" s="3450"/>
      <c r="G1152" s="3450"/>
    </row>
    <row r="1153" spans="1:7" x14ac:dyDescent="0.3">
      <c r="A1153" s="11" t="s">
        <v>1027</v>
      </c>
      <c r="B1153" s="11" t="s">
        <v>6050</v>
      </c>
      <c r="C1153" s="1044">
        <v>510</v>
      </c>
      <c r="D1153" s="1044">
        <v>208580.380940125</v>
      </c>
      <c r="E1153" s="1045">
        <v>12820.246063692501</v>
      </c>
      <c r="F1153" s="1046">
        <v>52.332385931239799</v>
      </c>
      <c r="G1153" s="1047">
        <v>3.4732490339765301</v>
      </c>
    </row>
    <row r="1154" spans="1:7" x14ac:dyDescent="0.3">
      <c r="A1154" s="6" t="s">
        <v>1021</v>
      </c>
      <c r="B1154" s="6" t="s">
        <v>6047</v>
      </c>
      <c r="C1154" s="1040">
        <v>236</v>
      </c>
      <c r="D1154" s="1040">
        <v>85872.7067614642</v>
      </c>
      <c r="E1154" s="1041">
        <v>7095.37118127542</v>
      </c>
      <c r="F1154" s="1042">
        <v>21.5452844171914</v>
      </c>
      <c r="G1154" s="1043">
        <v>1.58135480567327</v>
      </c>
    </row>
    <row r="1155" spans="1:7" x14ac:dyDescent="0.3">
      <c r="A1155" s="11" t="s">
        <v>1025</v>
      </c>
      <c r="B1155" s="11" t="s">
        <v>6049</v>
      </c>
      <c r="C1155" s="1044">
        <v>159</v>
      </c>
      <c r="D1155" s="1044">
        <v>62676.560616802402</v>
      </c>
      <c r="E1155" s="1045">
        <v>7430.6985490343604</v>
      </c>
      <c r="F1155" s="1046">
        <v>15.7254193527569</v>
      </c>
      <c r="G1155" s="1047">
        <v>1.6556905332732199</v>
      </c>
    </row>
    <row r="1156" spans="1:7" x14ac:dyDescent="0.3">
      <c r="A1156" s="6" t="s">
        <v>1023</v>
      </c>
      <c r="B1156" s="6" t="s">
        <v>6048</v>
      </c>
      <c r="C1156" s="1040">
        <v>124</v>
      </c>
      <c r="D1156" s="1040">
        <v>40834.762824705998</v>
      </c>
      <c r="E1156" s="1041">
        <v>5784.1283542253304</v>
      </c>
      <c r="F1156" s="1042">
        <v>10.245357487225</v>
      </c>
      <c r="G1156" s="1043">
        <v>1.4014587083475301</v>
      </c>
    </row>
    <row r="1157" spans="1:7" x14ac:dyDescent="0.3">
      <c r="A1157" s="11" t="s">
        <v>1052</v>
      </c>
      <c r="B1157" s="11" t="s">
        <v>1083</v>
      </c>
      <c r="C1157" s="1044">
        <v>3</v>
      </c>
      <c r="D1157" s="1044">
        <v>604.04169637617599</v>
      </c>
      <c r="E1157" s="1045">
        <v>657.13758039695597</v>
      </c>
      <c r="F1157" s="1046">
        <v>0.15155281158678599</v>
      </c>
      <c r="G1157" s="1047">
        <v>0.16459939611817101</v>
      </c>
    </row>
    <row r="1158" spans="1:7" x14ac:dyDescent="0.3">
      <c r="A1158" s="6" t="s">
        <v>1019</v>
      </c>
      <c r="B1158" s="6" t="s">
        <v>1020</v>
      </c>
      <c r="C1158" s="1040">
        <v>1242</v>
      </c>
      <c r="D1158" s="1040">
        <v>418994.54716052598</v>
      </c>
      <c r="E1158" s="1041">
        <v>9411.4842675537693</v>
      </c>
      <c r="F1158" s="1042">
        <v>100</v>
      </c>
      <c r="G1158" s="1043">
        <v>0</v>
      </c>
    </row>
    <row r="1159" spans="1:7" x14ac:dyDescent="0.3">
      <c r="A1159" s="11" t="s">
        <v>6354</v>
      </c>
      <c r="B1159" s="11" t="s">
        <v>6355</v>
      </c>
      <c r="C1159" s="1044">
        <v>1032</v>
      </c>
      <c r="D1159" s="1044">
        <v>398568.45283947402</v>
      </c>
      <c r="E1159" s="1045">
        <v>9411.4842675527198</v>
      </c>
      <c r="F1159" s="1046">
        <v>48.750793864139403</v>
      </c>
      <c r="G1159" s="1047">
        <v>1.15116318467852</v>
      </c>
    </row>
    <row r="1160" spans="1:7" x14ac:dyDescent="0.3">
      <c r="A1160" s="6" t="s">
        <v>6354</v>
      </c>
      <c r="B1160" s="6" t="s">
        <v>6356</v>
      </c>
      <c r="C1160" s="1040">
        <v>2274</v>
      </c>
      <c r="D1160" s="1040">
        <v>817563</v>
      </c>
      <c r="E1160" s="1041">
        <v>0</v>
      </c>
      <c r="F1160" s="1042">
        <v>100</v>
      </c>
      <c r="G1160" s="1043">
        <v>0</v>
      </c>
    </row>
    <row r="1161" spans="1:7" x14ac:dyDescent="0.3">
      <c r="A1161" s="3449" t="s">
        <v>379</v>
      </c>
      <c r="B1161" s="3450"/>
      <c r="C1161" s="3450"/>
      <c r="D1161" s="3450"/>
      <c r="E1161" s="3450"/>
      <c r="F1161" s="3450"/>
      <c r="G1161" s="3450"/>
    </row>
    <row r="1162" spans="1:7" x14ac:dyDescent="0.3">
      <c r="A1162" s="11" t="s">
        <v>1019</v>
      </c>
      <c r="B1162" s="11" t="s">
        <v>1020</v>
      </c>
      <c r="C1162" s="1052">
        <v>2271</v>
      </c>
      <c r="D1162" s="1052">
        <v>816958.95830362197</v>
      </c>
      <c r="E1162" s="1053">
        <v>657.13758039358095</v>
      </c>
      <c r="F1162" s="1054">
        <v>99.926116801228005</v>
      </c>
      <c r="G1162" s="1055">
        <v>8.0377607645766194E-2</v>
      </c>
    </row>
    <row r="1163" spans="1:7" x14ac:dyDescent="0.3">
      <c r="A1163" s="6" t="s">
        <v>1044</v>
      </c>
      <c r="B1163" s="6"/>
      <c r="C1163" s="1048">
        <v>3</v>
      </c>
      <c r="D1163" s="1048">
        <v>604.04169637617599</v>
      </c>
      <c r="E1163" s="1049">
        <v>657.13758039695597</v>
      </c>
      <c r="F1163" s="1050">
        <v>7.3883198771981698E-2</v>
      </c>
      <c r="G1163" s="1051">
        <v>8.0377607645766194E-2</v>
      </c>
    </row>
    <row r="1164" spans="1:7" x14ac:dyDescent="0.3">
      <c r="A1164" s="11" t="s">
        <v>6354</v>
      </c>
      <c r="B1164" s="11" t="s">
        <v>6355</v>
      </c>
      <c r="C1164" s="1052">
        <v>0</v>
      </c>
      <c r="D1164" s="1052">
        <v>0</v>
      </c>
      <c r="E1164" s="1053">
        <v>0</v>
      </c>
      <c r="F1164" s="1054">
        <v>0</v>
      </c>
      <c r="G1164" s="1055">
        <v>0</v>
      </c>
    </row>
    <row r="1165" spans="1:7" x14ac:dyDescent="0.3">
      <c r="A1165" s="6" t="s">
        <v>6354</v>
      </c>
      <c r="B1165" s="6" t="s">
        <v>6356</v>
      </c>
      <c r="C1165" s="1048">
        <v>2274</v>
      </c>
      <c r="D1165" s="1048">
        <v>817562.99999999802</v>
      </c>
      <c r="E1165" s="1049">
        <v>0</v>
      </c>
      <c r="F1165" s="1050">
        <v>100</v>
      </c>
      <c r="G1165" s="1051">
        <v>0</v>
      </c>
    </row>
    <row r="1166" spans="1:7" x14ac:dyDescent="0.3">
      <c r="A1166" s="3449" t="s">
        <v>644</v>
      </c>
      <c r="B1166" s="3450"/>
      <c r="C1166" s="3450"/>
      <c r="D1166" s="3450"/>
      <c r="E1166" s="3450"/>
      <c r="F1166" s="3450"/>
      <c r="G1166" s="3450"/>
    </row>
    <row r="1167" spans="1:7" x14ac:dyDescent="0.3">
      <c r="A1167" s="11" t="s">
        <v>1021</v>
      </c>
      <c r="B1167" s="11" t="s">
        <v>6133</v>
      </c>
      <c r="C1167" s="1060">
        <v>279</v>
      </c>
      <c r="D1167" s="1060">
        <v>143522.40149622899</v>
      </c>
      <c r="E1167" s="1061">
        <v>3242.6963751755002</v>
      </c>
      <c r="F1167" s="1062">
        <v>97.064739453607203</v>
      </c>
      <c r="G1167" s="1063">
        <v>0.67464877009337099</v>
      </c>
    </row>
    <row r="1168" spans="1:7" x14ac:dyDescent="0.3">
      <c r="A1168" s="6" t="s">
        <v>1023</v>
      </c>
      <c r="B1168" s="6" t="s">
        <v>6134</v>
      </c>
      <c r="C1168" s="1056">
        <v>13</v>
      </c>
      <c r="D1168" s="1056">
        <v>3897.9069511125299</v>
      </c>
      <c r="E1168" s="1057">
        <v>873.05606948036097</v>
      </c>
      <c r="F1168" s="1058">
        <v>2.6361691184081999</v>
      </c>
      <c r="G1168" s="1059">
        <v>0.60905947171328201</v>
      </c>
    </row>
    <row r="1169" spans="1:7" x14ac:dyDescent="0.3">
      <c r="A1169" s="11" t="s">
        <v>1025</v>
      </c>
      <c r="B1169" s="11" t="s">
        <v>6135</v>
      </c>
      <c r="C1169" s="1060">
        <v>3</v>
      </c>
      <c r="D1169" s="1060">
        <v>442.24422022788201</v>
      </c>
      <c r="E1169" s="1061">
        <v>302.60329554959498</v>
      </c>
      <c r="F1169" s="1062">
        <v>0.299091427984578</v>
      </c>
      <c r="G1169" s="1063">
        <v>0.20333790362827001</v>
      </c>
    </row>
    <row r="1170" spans="1:7" x14ac:dyDescent="0.3">
      <c r="A1170" s="6" t="s">
        <v>1019</v>
      </c>
      <c r="B1170" s="6" t="s">
        <v>1020</v>
      </c>
      <c r="C1170" s="1056">
        <v>1979</v>
      </c>
      <c r="D1170" s="1056">
        <v>669700.44733243098</v>
      </c>
      <c r="E1170" s="1057">
        <v>2885.7485889473901</v>
      </c>
      <c r="F1170" s="1058">
        <v>100</v>
      </c>
      <c r="G1170" s="1059">
        <v>0</v>
      </c>
    </row>
    <row r="1171" spans="1:7" x14ac:dyDescent="0.3">
      <c r="A1171" s="11" t="s">
        <v>6354</v>
      </c>
      <c r="B1171" s="11" t="s">
        <v>6355</v>
      </c>
      <c r="C1171" s="1060">
        <v>295</v>
      </c>
      <c r="D1171" s="1060">
        <v>147862.55266756899</v>
      </c>
      <c r="E1171" s="1061">
        <v>2885.7485889487798</v>
      </c>
      <c r="F1171" s="1062">
        <v>18.0857686401622</v>
      </c>
      <c r="G1171" s="1063">
        <v>0.35296956796583701</v>
      </c>
    </row>
    <row r="1172" spans="1:7" x14ac:dyDescent="0.3">
      <c r="A1172" s="6" t="s">
        <v>6354</v>
      </c>
      <c r="B1172" s="6" t="s">
        <v>6356</v>
      </c>
      <c r="C1172" s="1056">
        <v>2274</v>
      </c>
      <c r="D1172" s="1056">
        <v>817563</v>
      </c>
      <c r="E1172" s="1057">
        <v>0</v>
      </c>
      <c r="F1172" s="1058">
        <v>100</v>
      </c>
      <c r="G1172" s="1059">
        <v>0</v>
      </c>
    </row>
    <row r="1173" spans="1:7" x14ac:dyDescent="0.3">
      <c r="A1173" s="3449" t="s">
        <v>457</v>
      </c>
      <c r="B1173" s="3450"/>
      <c r="C1173" s="3450"/>
      <c r="D1173" s="3450"/>
      <c r="E1173" s="3450"/>
      <c r="F1173" s="3450"/>
      <c r="G1173" s="3450"/>
    </row>
    <row r="1174" spans="1:7" x14ac:dyDescent="0.3">
      <c r="A1174" s="11" t="s">
        <v>1219</v>
      </c>
      <c r="B1174" s="11"/>
      <c r="C1174" s="1068">
        <v>742</v>
      </c>
      <c r="D1174" s="1068">
        <v>263075.34981155599</v>
      </c>
      <c r="E1174" s="1069">
        <v>14291.7847001931</v>
      </c>
      <c r="F1174" s="1070">
        <v>34.811355857843097</v>
      </c>
      <c r="G1174" s="1071">
        <v>1.8483745226414099</v>
      </c>
    </row>
    <row r="1175" spans="1:7" x14ac:dyDescent="0.3">
      <c r="A1175" s="6" t="s">
        <v>6363</v>
      </c>
      <c r="B1175" s="6"/>
      <c r="C1175" s="1064">
        <v>262</v>
      </c>
      <c r="D1175" s="1064">
        <v>78269.794173028698</v>
      </c>
      <c r="E1175" s="1065">
        <v>8573.1002727444193</v>
      </c>
      <c r="F1175" s="1066">
        <v>10.357023795004601</v>
      </c>
      <c r="G1175" s="1067">
        <v>1.1387852041750399</v>
      </c>
    </row>
    <row r="1176" spans="1:7" x14ac:dyDescent="0.3">
      <c r="A1176" s="11" t="s">
        <v>6358</v>
      </c>
      <c r="B1176" s="11"/>
      <c r="C1176" s="1068">
        <v>191</v>
      </c>
      <c r="D1176" s="1068">
        <v>72084.469041750097</v>
      </c>
      <c r="E1176" s="1069">
        <v>9675.1361203267606</v>
      </c>
      <c r="F1176" s="1070">
        <v>9.5385527584911305</v>
      </c>
      <c r="G1176" s="1071">
        <v>1.2803388745619</v>
      </c>
    </row>
    <row r="1177" spans="1:7" x14ac:dyDescent="0.3">
      <c r="A1177" s="6" t="s">
        <v>6359</v>
      </c>
      <c r="B1177" s="6"/>
      <c r="C1177" s="1064">
        <v>170</v>
      </c>
      <c r="D1177" s="1064">
        <v>60506.941447195801</v>
      </c>
      <c r="E1177" s="1065">
        <v>6305.13314117759</v>
      </c>
      <c r="F1177" s="1066">
        <v>8.0065603717596403</v>
      </c>
      <c r="G1177" s="1067">
        <v>0.84277173411351802</v>
      </c>
    </row>
    <row r="1178" spans="1:7" x14ac:dyDescent="0.3">
      <c r="A1178" s="11" t="s">
        <v>6361</v>
      </c>
      <c r="B1178" s="11"/>
      <c r="C1178" s="1068">
        <v>170</v>
      </c>
      <c r="D1178" s="1068">
        <v>59945.150489651402</v>
      </c>
      <c r="E1178" s="1069">
        <v>4286.1045824830799</v>
      </c>
      <c r="F1178" s="1070">
        <v>7.9322215750810301</v>
      </c>
      <c r="G1178" s="1071">
        <v>0.56567748700780696</v>
      </c>
    </row>
    <row r="1179" spans="1:7" x14ac:dyDescent="0.3">
      <c r="A1179" s="6" t="s">
        <v>6357</v>
      </c>
      <c r="B1179" s="6"/>
      <c r="C1179" s="1064">
        <v>156</v>
      </c>
      <c r="D1179" s="1064">
        <v>56964.989097261503</v>
      </c>
      <c r="E1179" s="1065">
        <v>5737.17568580222</v>
      </c>
      <c r="F1179" s="1066">
        <v>7.5378727361700397</v>
      </c>
      <c r="G1179" s="1067">
        <v>0.76496730737374397</v>
      </c>
    </row>
    <row r="1180" spans="1:7" x14ac:dyDescent="0.3">
      <c r="A1180" s="11" t="s">
        <v>6360</v>
      </c>
      <c r="B1180" s="11"/>
      <c r="C1180" s="1068">
        <v>142</v>
      </c>
      <c r="D1180" s="1068">
        <v>55168.374912758598</v>
      </c>
      <c r="E1180" s="1069">
        <v>9446.2209377540403</v>
      </c>
      <c r="F1180" s="1070">
        <v>7.30013637751546</v>
      </c>
      <c r="G1180" s="1071">
        <v>1.24357706094098</v>
      </c>
    </row>
    <row r="1181" spans="1:7" x14ac:dyDescent="0.3">
      <c r="A1181" s="6" t="s">
        <v>6362</v>
      </c>
      <c r="B1181" s="6"/>
      <c r="C1181" s="1064">
        <v>62</v>
      </c>
      <c r="D1181" s="1064">
        <v>22686.2545799541</v>
      </c>
      <c r="E1181" s="1065">
        <v>8634.9656554605299</v>
      </c>
      <c r="F1181" s="1066">
        <v>3.0019508928909802</v>
      </c>
      <c r="G1181" s="1067">
        <v>1.1411378852092799</v>
      </c>
    </row>
    <row r="1182" spans="1:7" x14ac:dyDescent="0.3">
      <c r="A1182" s="11" t="s">
        <v>1063</v>
      </c>
      <c r="B1182" s="11"/>
      <c r="C1182" s="1068">
        <v>51</v>
      </c>
      <c r="D1182" s="1068">
        <v>16951.065284267301</v>
      </c>
      <c r="E1182" s="1069">
        <v>5363.27284342236</v>
      </c>
      <c r="F1182" s="1070">
        <v>2.24304392715946</v>
      </c>
      <c r="G1182" s="1071">
        <v>0.71160185572162105</v>
      </c>
    </row>
    <row r="1183" spans="1:7" x14ac:dyDescent="0.3">
      <c r="A1183" s="6" t="s">
        <v>1224</v>
      </c>
      <c r="B1183" s="6"/>
      <c r="C1183" s="1064">
        <v>17</v>
      </c>
      <c r="D1183" s="1064">
        <v>9480.9007019377805</v>
      </c>
      <c r="E1183" s="1065">
        <v>6189.6620916184802</v>
      </c>
      <c r="F1183" s="1066">
        <v>1.25455694889105</v>
      </c>
      <c r="G1183" s="1067">
        <v>0.81936687549567599</v>
      </c>
    </row>
    <row r="1184" spans="1:7" x14ac:dyDescent="0.3">
      <c r="A1184" s="11" t="s">
        <v>6364</v>
      </c>
      <c r="B1184" s="11"/>
      <c r="C1184" s="1068">
        <v>16</v>
      </c>
      <c r="D1184" s="1068">
        <v>8360.8391311159394</v>
      </c>
      <c r="E1184" s="1069">
        <v>2993.0141340436398</v>
      </c>
      <c r="F1184" s="1070">
        <v>1.10634518388721</v>
      </c>
      <c r="G1184" s="1071">
        <v>0.395884915825158</v>
      </c>
    </row>
    <row r="1185" spans="1:7" x14ac:dyDescent="0.3">
      <c r="A1185" s="6" t="s">
        <v>1067</v>
      </c>
      <c r="B1185" s="6"/>
      <c r="C1185" s="1064">
        <v>10</v>
      </c>
      <c r="D1185" s="1064">
        <v>7728.2377712920597</v>
      </c>
      <c r="E1185" s="1065">
        <v>2050.5446604559202</v>
      </c>
      <c r="F1185" s="1066">
        <v>1.0226364248994899</v>
      </c>
      <c r="G1185" s="1067">
        <v>0.271732863625535</v>
      </c>
    </row>
    <row r="1186" spans="1:7" x14ac:dyDescent="0.3">
      <c r="A1186" s="11" t="s">
        <v>1071</v>
      </c>
      <c r="B1186" s="11"/>
      <c r="C1186" s="1068">
        <v>52</v>
      </c>
      <c r="D1186" s="1068">
        <v>7663.29156436019</v>
      </c>
      <c r="E1186" s="1069">
        <v>1222.1778030205301</v>
      </c>
      <c r="F1186" s="1070">
        <v>1.0140424402379</v>
      </c>
      <c r="G1186" s="1071">
        <v>0.161837445717466</v>
      </c>
    </row>
    <row r="1187" spans="1:7" x14ac:dyDescent="0.3">
      <c r="A1187" s="6" t="s">
        <v>1073</v>
      </c>
      <c r="B1187" s="6"/>
      <c r="C1187" s="1064">
        <v>27</v>
      </c>
      <c r="D1187" s="1064">
        <v>7248.7933813312002</v>
      </c>
      <c r="E1187" s="1065">
        <v>1066.42274320571</v>
      </c>
      <c r="F1187" s="1066">
        <v>0.95919410966573904</v>
      </c>
      <c r="G1187" s="1067">
        <v>0.142383038799511</v>
      </c>
    </row>
    <row r="1188" spans="1:7" x14ac:dyDescent="0.3">
      <c r="A1188" s="11" t="s">
        <v>1222</v>
      </c>
      <c r="B1188" s="11"/>
      <c r="C1188" s="1068">
        <v>23</v>
      </c>
      <c r="D1188" s="1068">
        <v>5426.7295089353202</v>
      </c>
      <c r="E1188" s="1069">
        <v>2654.3454667651999</v>
      </c>
      <c r="F1188" s="1070">
        <v>0.71809012974847597</v>
      </c>
      <c r="G1188" s="1071">
        <v>0.35183977255774901</v>
      </c>
    </row>
    <row r="1189" spans="1:7" x14ac:dyDescent="0.3">
      <c r="A1189" s="6" t="s">
        <v>6365</v>
      </c>
      <c r="B1189" s="6"/>
      <c r="C1189" s="1064">
        <v>7</v>
      </c>
      <c r="D1189" s="1064">
        <v>4873.7736201074504</v>
      </c>
      <c r="E1189" s="1065">
        <v>2429.1311742133698</v>
      </c>
      <c r="F1189" s="1066">
        <v>0.64492043052174997</v>
      </c>
      <c r="G1189" s="1067">
        <v>0.32111833247683602</v>
      </c>
    </row>
    <row r="1190" spans="1:7" x14ac:dyDescent="0.3">
      <c r="A1190" s="11" t="s">
        <v>1114</v>
      </c>
      <c r="B1190" s="11"/>
      <c r="C1190" s="1068">
        <v>24</v>
      </c>
      <c r="D1190" s="1068">
        <v>4299.9435569505304</v>
      </c>
      <c r="E1190" s="1069">
        <v>1230.79078571838</v>
      </c>
      <c r="F1190" s="1070">
        <v>0.56898856330274705</v>
      </c>
      <c r="G1190" s="1071">
        <v>0.16240405652161</v>
      </c>
    </row>
    <row r="1191" spans="1:7" x14ac:dyDescent="0.3">
      <c r="A1191" s="6" t="s">
        <v>3114</v>
      </c>
      <c r="B1191" s="6"/>
      <c r="C1191" s="1064">
        <v>6</v>
      </c>
      <c r="D1191" s="1064">
        <v>2409.3814941618498</v>
      </c>
      <c r="E1191" s="1065">
        <v>2065.3525037742502</v>
      </c>
      <c r="F1191" s="1066">
        <v>0.31882058372496502</v>
      </c>
      <c r="G1191" s="1067">
        <v>0.27352656802282299</v>
      </c>
    </row>
    <row r="1192" spans="1:7" x14ac:dyDescent="0.3">
      <c r="A1192" s="11" t="s">
        <v>1069</v>
      </c>
      <c r="B1192" s="11"/>
      <c r="C1192" s="1068">
        <v>2</v>
      </c>
      <c r="D1192" s="1068">
        <v>2118.9406849698198</v>
      </c>
      <c r="E1192" s="1069">
        <v>1628.7146177897901</v>
      </c>
      <c r="F1192" s="1070">
        <v>0.28038810279634202</v>
      </c>
      <c r="G1192" s="1071">
        <v>0.215646167030693</v>
      </c>
    </row>
    <row r="1193" spans="1:7" x14ac:dyDescent="0.3">
      <c r="A1193" s="6" t="s">
        <v>1075</v>
      </c>
      <c r="B1193" s="6"/>
      <c r="C1193" s="1064">
        <v>5</v>
      </c>
      <c r="D1193" s="1064">
        <v>2072.3791193083298</v>
      </c>
      <c r="E1193" s="1065">
        <v>1920.7926169438399</v>
      </c>
      <c r="F1193" s="1066">
        <v>0.274226859514897</v>
      </c>
      <c r="G1193" s="1067">
        <v>0.25400154987170398</v>
      </c>
    </row>
    <row r="1194" spans="1:7" x14ac:dyDescent="0.3">
      <c r="A1194" s="11" t="s">
        <v>3105</v>
      </c>
      <c r="B1194" s="11"/>
      <c r="C1194" s="1068">
        <v>8</v>
      </c>
      <c r="D1194" s="1068">
        <v>1762.14005770821</v>
      </c>
      <c r="E1194" s="1069">
        <v>870.12876377203804</v>
      </c>
      <c r="F1194" s="1070">
        <v>0.23317458159489701</v>
      </c>
      <c r="G1194" s="1071">
        <v>0.114949057613983</v>
      </c>
    </row>
    <row r="1195" spans="1:7" x14ac:dyDescent="0.3">
      <c r="A1195" s="6" t="s">
        <v>3099</v>
      </c>
      <c r="B1195" s="6"/>
      <c r="C1195" s="1064">
        <v>5</v>
      </c>
      <c r="D1195" s="1064">
        <v>1732.0438897788199</v>
      </c>
      <c r="E1195" s="1065">
        <v>1353.2158480514499</v>
      </c>
      <c r="F1195" s="1066">
        <v>0.22919211644756199</v>
      </c>
      <c r="G1195" s="1067">
        <v>0.17912387516269401</v>
      </c>
    </row>
    <row r="1196" spans="1:7" x14ac:dyDescent="0.3">
      <c r="A1196" s="11" t="s">
        <v>1065</v>
      </c>
      <c r="B1196" s="11"/>
      <c r="C1196" s="1068">
        <v>3</v>
      </c>
      <c r="D1196" s="1068">
        <v>1606.9695683253699</v>
      </c>
      <c r="E1196" s="1069">
        <v>1094.8793523092299</v>
      </c>
      <c r="F1196" s="1070">
        <v>0.212641699557826</v>
      </c>
      <c r="G1196" s="1071">
        <v>0.14506609563038</v>
      </c>
    </row>
    <row r="1197" spans="1:7" x14ac:dyDescent="0.3">
      <c r="A1197" s="6" t="s">
        <v>3252</v>
      </c>
      <c r="B1197" s="6"/>
      <c r="C1197" s="1064">
        <v>1</v>
      </c>
      <c r="D1197" s="1064">
        <v>775.46853014229305</v>
      </c>
      <c r="E1197" s="1065">
        <v>885.01892563575495</v>
      </c>
      <c r="F1197" s="1066">
        <v>0.102613608529567</v>
      </c>
      <c r="G1197" s="1067">
        <v>0.117117394610275</v>
      </c>
    </row>
    <row r="1198" spans="1:7" x14ac:dyDescent="0.3">
      <c r="A1198" s="11" t="s">
        <v>1079</v>
      </c>
      <c r="B1198" s="11"/>
      <c r="C1198" s="1068">
        <v>1</v>
      </c>
      <c r="D1198" s="1068">
        <v>589.24846191194797</v>
      </c>
      <c r="E1198" s="1069">
        <v>781.539890192759</v>
      </c>
      <c r="F1198" s="1070">
        <v>7.7972101570888006E-2</v>
      </c>
      <c r="G1198" s="1071">
        <v>0.103498737854908</v>
      </c>
    </row>
    <row r="1199" spans="1:7" x14ac:dyDescent="0.3">
      <c r="A1199" s="6" t="s">
        <v>1116</v>
      </c>
      <c r="B1199" s="6"/>
      <c r="C1199" s="1064">
        <v>2</v>
      </c>
      <c r="D1199" s="1064">
        <v>451.17756605920403</v>
      </c>
      <c r="E1199" s="1065">
        <v>341.60166541930198</v>
      </c>
      <c r="F1199" s="1066">
        <v>5.9701917410403302E-2</v>
      </c>
      <c r="G1199" s="1067">
        <v>4.51530311739511E-2</v>
      </c>
    </row>
    <row r="1200" spans="1:7" x14ac:dyDescent="0.3">
      <c r="A1200" s="11" t="s">
        <v>1226</v>
      </c>
      <c r="B1200" s="11"/>
      <c r="C1200" s="1068">
        <v>2</v>
      </c>
      <c r="D1200" s="1068">
        <v>330.10569434381699</v>
      </c>
      <c r="E1200" s="1069">
        <v>438.81236500119002</v>
      </c>
      <c r="F1200" s="1070">
        <v>4.36811233159414E-2</v>
      </c>
      <c r="G1200" s="1071">
        <v>5.8111052564290597E-2</v>
      </c>
    </row>
    <row r="1201" spans="1:7" x14ac:dyDescent="0.3">
      <c r="A1201" s="6" t="s">
        <v>1228</v>
      </c>
      <c r="B1201" s="6"/>
      <c r="C1201" s="1064">
        <v>1</v>
      </c>
      <c r="D1201" s="1064">
        <v>276.91531350072302</v>
      </c>
      <c r="E1201" s="1065">
        <v>299.67602250213702</v>
      </c>
      <c r="F1201" s="1066">
        <v>3.6642724328466998E-2</v>
      </c>
      <c r="G1201" s="1067">
        <v>3.9633577308519102E-2</v>
      </c>
    </row>
    <row r="1202" spans="1:7" x14ac:dyDescent="0.3">
      <c r="A1202" s="11" t="s">
        <v>1230</v>
      </c>
      <c r="B1202" s="11"/>
      <c r="C1202" s="1068">
        <v>1</v>
      </c>
      <c r="D1202" s="1068">
        <v>234.15209809313299</v>
      </c>
      <c r="E1202" s="1069">
        <v>246.91183291125299</v>
      </c>
      <c r="F1202" s="1070">
        <v>3.0984096447726501E-2</v>
      </c>
      <c r="G1202" s="1071">
        <v>3.2661399215878101E-2</v>
      </c>
    </row>
    <row r="1203" spans="1:7" x14ac:dyDescent="0.3">
      <c r="A1203" s="6" t="s">
        <v>3299</v>
      </c>
      <c r="B1203" s="6"/>
      <c r="C1203" s="1064">
        <v>1</v>
      </c>
      <c r="D1203" s="1064">
        <v>234.15209809313299</v>
      </c>
      <c r="E1203" s="1065">
        <v>246.91183291125299</v>
      </c>
      <c r="F1203" s="1066">
        <v>3.0984096447726501E-2</v>
      </c>
      <c r="G1203" s="1067">
        <v>3.2661399215878101E-2</v>
      </c>
    </row>
    <row r="1204" spans="1:7" x14ac:dyDescent="0.3">
      <c r="A1204" s="11" t="s">
        <v>1132</v>
      </c>
      <c r="B1204" s="11"/>
      <c r="C1204" s="1068">
        <v>1</v>
      </c>
      <c r="D1204" s="1068">
        <v>135.85498710629</v>
      </c>
      <c r="E1204" s="1069">
        <v>143.56690752689201</v>
      </c>
      <c r="F1204" s="1070">
        <v>1.7976964792054399E-2</v>
      </c>
      <c r="G1204" s="1071">
        <v>1.89875678566374E-2</v>
      </c>
    </row>
    <row r="1205" spans="1:7" x14ac:dyDescent="0.3">
      <c r="A1205" s="6" t="s">
        <v>1120</v>
      </c>
      <c r="B1205" s="6"/>
      <c r="C1205" s="1064">
        <v>2</v>
      </c>
      <c r="D1205" s="1064">
        <v>100.18540362354101</v>
      </c>
      <c r="E1205" s="1065">
        <v>80.482634146413602</v>
      </c>
      <c r="F1205" s="1066">
        <v>1.32569993342171E-2</v>
      </c>
      <c r="G1205" s="1067">
        <v>1.0645368019574599E-2</v>
      </c>
    </row>
    <row r="1206" spans="1:7" x14ac:dyDescent="0.3">
      <c r="A1206" s="11" t="s">
        <v>1118</v>
      </c>
      <c r="B1206" s="11"/>
      <c r="C1206" s="1068">
        <v>1</v>
      </c>
      <c r="D1206" s="1068">
        <v>95.611656013695395</v>
      </c>
      <c r="E1206" s="1069">
        <v>108.47663094719699</v>
      </c>
      <c r="F1206" s="1070">
        <v>1.2651779743083499E-2</v>
      </c>
      <c r="G1206" s="1071">
        <v>1.4350590242887099E-2</v>
      </c>
    </row>
    <row r="1207" spans="1:7" x14ac:dyDescent="0.3">
      <c r="A1207" s="6" t="s">
        <v>3128</v>
      </c>
      <c r="B1207" s="6"/>
      <c r="C1207" s="1064">
        <v>1</v>
      </c>
      <c r="D1207" s="1064">
        <v>57.4202983200205</v>
      </c>
      <c r="E1207" s="1065">
        <v>56.484760413344198</v>
      </c>
      <c r="F1207" s="1066">
        <v>7.59812137364282E-3</v>
      </c>
      <c r="G1207" s="1067">
        <v>7.4754777557857598E-3</v>
      </c>
    </row>
    <row r="1208" spans="1:7" x14ac:dyDescent="0.3">
      <c r="A1208" s="11" t="s">
        <v>1019</v>
      </c>
      <c r="B1208" s="11"/>
      <c r="C1208" s="1068">
        <v>93</v>
      </c>
      <c r="D1208" s="1068">
        <v>58538.954788752002</v>
      </c>
      <c r="E1208" s="1069">
        <v>0.34436598578877903</v>
      </c>
      <c r="F1208" s="1070">
        <v>94.652843155123904</v>
      </c>
      <c r="G1208" s="1071">
        <v>2.17927657100164</v>
      </c>
    </row>
    <row r="1209" spans="1:7" x14ac:dyDescent="0.3">
      <c r="A1209" s="6" t="s">
        <v>1015</v>
      </c>
      <c r="B1209" s="6" t="s">
        <v>1016</v>
      </c>
      <c r="C1209" s="1064">
        <v>11</v>
      </c>
      <c r="D1209" s="1064">
        <v>3307.0002163334202</v>
      </c>
      <c r="E1209" s="1065">
        <v>1418.78319209861</v>
      </c>
      <c r="F1209" s="1066">
        <v>5.3471568448760998</v>
      </c>
      <c r="G1209" s="1067">
        <v>2.1792765710016502</v>
      </c>
    </row>
    <row r="1210" spans="1:7" x14ac:dyDescent="0.3">
      <c r="A1210" s="11" t="s">
        <v>6354</v>
      </c>
      <c r="B1210" s="11" t="s">
        <v>6355</v>
      </c>
      <c r="C1210" s="1068">
        <v>2165</v>
      </c>
      <c r="D1210" s="1068">
        <v>755717.04499491397</v>
      </c>
      <c r="E1210" s="1069">
        <v>1418.78523378608</v>
      </c>
      <c r="F1210" s="1070">
        <v>92.435328530634905</v>
      </c>
      <c r="G1210" s="1071">
        <v>0.17353833695829601</v>
      </c>
    </row>
    <row r="1211" spans="1:7" x14ac:dyDescent="0.3">
      <c r="A1211" s="6" t="s">
        <v>6354</v>
      </c>
      <c r="B1211" s="6" t="s">
        <v>6356</v>
      </c>
      <c r="C1211" s="1064">
        <v>2269</v>
      </c>
      <c r="D1211" s="1064">
        <v>817563</v>
      </c>
      <c r="E1211" s="1065">
        <v>0</v>
      </c>
      <c r="F1211" s="1066">
        <v>100</v>
      </c>
      <c r="G1211" s="1067">
        <v>0</v>
      </c>
    </row>
    <row r="1212" spans="1:7" x14ac:dyDescent="0.3">
      <c r="A1212" s="3449" t="s">
        <v>894</v>
      </c>
      <c r="B1212" s="3450"/>
      <c r="C1212" s="3450"/>
      <c r="D1212" s="3450"/>
      <c r="E1212" s="3450"/>
      <c r="F1212" s="3450"/>
      <c r="G1212" s="3450"/>
    </row>
    <row r="1213" spans="1:7" x14ac:dyDescent="0.3">
      <c r="A1213" s="11" t="s">
        <v>1219</v>
      </c>
      <c r="B1213" s="11"/>
      <c r="C1213" s="1076">
        <v>516</v>
      </c>
      <c r="D1213" s="1076">
        <v>194783.21054374799</v>
      </c>
      <c r="E1213" s="1077">
        <v>18072.336790274101</v>
      </c>
      <c r="F1213" s="1078">
        <v>39.834397598811499</v>
      </c>
      <c r="G1213" s="1079">
        <v>3.34219006058651</v>
      </c>
    </row>
    <row r="1214" spans="1:7" x14ac:dyDescent="0.3">
      <c r="A1214" s="6" t="s">
        <v>6358</v>
      </c>
      <c r="B1214" s="6"/>
      <c r="C1214" s="1072">
        <v>164</v>
      </c>
      <c r="D1214" s="1072">
        <v>63297.253032984299</v>
      </c>
      <c r="E1214" s="1073">
        <v>12922.123329350599</v>
      </c>
      <c r="F1214" s="1074">
        <v>12.9446882880194</v>
      </c>
      <c r="G1214" s="1075">
        <v>2.7529361064418101</v>
      </c>
    </row>
    <row r="1215" spans="1:7" x14ac:dyDescent="0.3">
      <c r="A1215" s="11" t="s">
        <v>6359</v>
      </c>
      <c r="B1215" s="11"/>
      <c r="C1215" s="1076">
        <v>155</v>
      </c>
      <c r="D1215" s="1076">
        <v>56720.027610073797</v>
      </c>
      <c r="E1215" s="1077">
        <v>7675.1032632972301</v>
      </c>
      <c r="F1215" s="1078">
        <v>11.599604120539899</v>
      </c>
      <c r="G1215" s="1079">
        <v>1.55918239732506</v>
      </c>
    </row>
    <row r="1216" spans="1:7" x14ac:dyDescent="0.3">
      <c r="A1216" s="6" t="s">
        <v>6357</v>
      </c>
      <c r="B1216" s="6"/>
      <c r="C1216" s="1072">
        <v>136</v>
      </c>
      <c r="D1216" s="1072">
        <v>45249.445285037698</v>
      </c>
      <c r="E1216" s="1073">
        <v>4902.4646645356697</v>
      </c>
      <c r="F1216" s="1074">
        <v>9.2537975402403703</v>
      </c>
      <c r="G1216" s="1075">
        <v>1.01745367507762</v>
      </c>
    </row>
    <row r="1217" spans="1:7" x14ac:dyDescent="0.3">
      <c r="A1217" s="11" t="s">
        <v>6363</v>
      </c>
      <c r="B1217" s="11"/>
      <c r="C1217" s="1076">
        <v>129</v>
      </c>
      <c r="D1217" s="1076">
        <v>36179.650745147097</v>
      </c>
      <c r="E1217" s="1077">
        <v>3244.02972504945</v>
      </c>
      <c r="F1217" s="1078">
        <v>7.3989672351387599</v>
      </c>
      <c r="G1217" s="1079">
        <v>0.64740152302032705</v>
      </c>
    </row>
    <row r="1218" spans="1:7" x14ac:dyDescent="0.3">
      <c r="A1218" s="6" t="s">
        <v>6360</v>
      </c>
      <c r="B1218" s="6"/>
      <c r="C1218" s="1072">
        <v>92</v>
      </c>
      <c r="D1218" s="1072">
        <v>34182.453109249102</v>
      </c>
      <c r="E1218" s="1073">
        <v>8186.9111925277202</v>
      </c>
      <c r="F1218" s="1074">
        <v>6.9905276961781002</v>
      </c>
      <c r="G1218" s="1075">
        <v>1.5557568584353301</v>
      </c>
    </row>
    <row r="1219" spans="1:7" x14ac:dyDescent="0.3">
      <c r="A1219" s="11" t="s">
        <v>6361</v>
      </c>
      <c r="B1219" s="11"/>
      <c r="C1219" s="1076">
        <v>100</v>
      </c>
      <c r="D1219" s="1076">
        <v>27711.713669224599</v>
      </c>
      <c r="E1219" s="1077">
        <v>3403.5143353356002</v>
      </c>
      <c r="F1219" s="1078">
        <v>5.6672205851971098</v>
      </c>
      <c r="G1219" s="1079">
        <v>0.69286299078809799</v>
      </c>
    </row>
    <row r="1220" spans="1:7" x14ac:dyDescent="0.3">
      <c r="A1220" s="6" t="s">
        <v>6362</v>
      </c>
      <c r="B1220" s="6"/>
      <c r="C1220" s="1072">
        <v>39</v>
      </c>
      <c r="D1220" s="1072">
        <v>11788.444354298599</v>
      </c>
      <c r="E1220" s="1073">
        <v>3063.7245909209701</v>
      </c>
      <c r="F1220" s="1074">
        <v>2.4108113741924702</v>
      </c>
      <c r="G1220" s="1075">
        <v>0.63148581438664297</v>
      </c>
    </row>
    <row r="1221" spans="1:7" x14ac:dyDescent="0.3">
      <c r="A1221" s="11" t="s">
        <v>1063</v>
      </c>
      <c r="B1221" s="11"/>
      <c r="C1221" s="1076">
        <v>22</v>
      </c>
      <c r="D1221" s="1076">
        <v>4794.3319924369998</v>
      </c>
      <c r="E1221" s="1077">
        <v>1308.21692646053</v>
      </c>
      <c r="F1221" s="1078">
        <v>0.98047119294475304</v>
      </c>
      <c r="G1221" s="1079">
        <v>0.25818721641778503</v>
      </c>
    </row>
    <row r="1222" spans="1:7" x14ac:dyDescent="0.3">
      <c r="A1222" s="6" t="s">
        <v>1071</v>
      </c>
      <c r="B1222" s="6"/>
      <c r="C1222" s="1072">
        <v>22</v>
      </c>
      <c r="D1222" s="1072">
        <v>3084.71920577321</v>
      </c>
      <c r="E1222" s="1073">
        <v>725.47384567931704</v>
      </c>
      <c r="F1222" s="1074">
        <v>0.63084457320751497</v>
      </c>
      <c r="G1222" s="1075">
        <v>0.14806138258579499</v>
      </c>
    </row>
    <row r="1223" spans="1:7" x14ac:dyDescent="0.3">
      <c r="A1223" s="11" t="s">
        <v>6365</v>
      </c>
      <c r="B1223" s="11"/>
      <c r="C1223" s="1076">
        <v>5</v>
      </c>
      <c r="D1223" s="1076">
        <v>2899.08954021923</v>
      </c>
      <c r="E1223" s="1077">
        <v>1934.5459561288801</v>
      </c>
      <c r="F1223" s="1078">
        <v>0.59288213341011298</v>
      </c>
      <c r="G1223" s="1079">
        <v>0.39795333609598599</v>
      </c>
    </row>
    <row r="1224" spans="1:7" x14ac:dyDescent="0.3">
      <c r="A1224" s="6" t="s">
        <v>1073</v>
      </c>
      <c r="B1224" s="6"/>
      <c r="C1224" s="1072">
        <v>6</v>
      </c>
      <c r="D1224" s="1072">
        <v>2650.84943844188</v>
      </c>
      <c r="E1224" s="1073">
        <v>1433.5322866255799</v>
      </c>
      <c r="F1224" s="1074">
        <v>0.54211546370298602</v>
      </c>
      <c r="G1224" s="1075">
        <v>0.29273412929309001</v>
      </c>
    </row>
    <row r="1225" spans="1:7" x14ac:dyDescent="0.3">
      <c r="A1225" s="11" t="s">
        <v>6364</v>
      </c>
      <c r="B1225" s="11"/>
      <c r="C1225" s="1076">
        <v>9</v>
      </c>
      <c r="D1225" s="1076">
        <v>1954.4195775774001</v>
      </c>
      <c r="E1225" s="1077">
        <v>928.25793417437706</v>
      </c>
      <c r="F1225" s="1078">
        <v>0.399691155673983</v>
      </c>
      <c r="G1225" s="1079">
        <v>0.18742321791907901</v>
      </c>
    </row>
    <row r="1226" spans="1:7" x14ac:dyDescent="0.3">
      <c r="A1226" s="6" t="s">
        <v>1224</v>
      </c>
      <c r="B1226" s="6"/>
      <c r="C1226" s="1072">
        <v>2</v>
      </c>
      <c r="D1226" s="1072">
        <v>1724.8985262393101</v>
      </c>
      <c r="E1226" s="1073">
        <v>1396.7123803038901</v>
      </c>
      <c r="F1226" s="1074">
        <v>0.352752650087305</v>
      </c>
      <c r="G1226" s="1075">
        <v>0.284144708330554</v>
      </c>
    </row>
    <row r="1227" spans="1:7" x14ac:dyDescent="0.3">
      <c r="A1227" s="11" t="s">
        <v>1114</v>
      </c>
      <c r="B1227" s="11"/>
      <c r="C1227" s="1076">
        <v>5</v>
      </c>
      <c r="D1227" s="1076">
        <v>609.04931618805904</v>
      </c>
      <c r="E1227" s="1077">
        <v>464.42213757040503</v>
      </c>
      <c r="F1227" s="1078">
        <v>0.124554434391923</v>
      </c>
      <c r="G1227" s="1079">
        <v>9.5646755923640997E-2</v>
      </c>
    </row>
    <row r="1228" spans="1:7" x14ac:dyDescent="0.3">
      <c r="A1228" s="6" t="s">
        <v>1077</v>
      </c>
      <c r="B1228" s="6"/>
      <c r="C1228" s="1072">
        <v>1</v>
      </c>
      <c r="D1228" s="1072">
        <v>426.38200318903199</v>
      </c>
      <c r="E1228" s="1073">
        <v>457.78104498096701</v>
      </c>
      <c r="F1228" s="1074">
        <v>8.7197814414271005E-2</v>
      </c>
      <c r="G1228" s="1075">
        <v>9.3290289739617699E-2</v>
      </c>
    </row>
    <row r="1229" spans="1:7" x14ac:dyDescent="0.3">
      <c r="A1229" s="11" t="s">
        <v>1226</v>
      </c>
      <c r="B1229" s="11"/>
      <c r="C1229" s="1076">
        <v>1</v>
      </c>
      <c r="D1229" s="1076">
        <v>330.10569434381699</v>
      </c>
      <c r="E1229" s="1077">
        <v>438.81236500119002</v>
      </c>
      <c r="F1229" s="1078">
        <v>6.7508700782863307E-2</v>
      </c>
      <c r="G1229" s="1079">
        <v>8.9484694470286494E-2</v>
      </c>
    </row>
    <row r="1230" spans="1:7" x14ac:dyDescent="0.3">
      <c r="A1230" s="6" t="s">
        <v>3299</v>
      </c>
      <c r="B1230" s="6"/>
      <c r="C1230" s="1072">
        <v>1</v>
      </c>
      <c r="D1230" s="1072">
        <v>234.15209809313299</v>
      </c>
      <c r="E1230" s="1073">
        <v>246.91183291125299</v>
      </c>
      <c r="F1230" s="1074">
        <v>4.7885583916601901E-2</v>
      </c>
      <c r="G1230" s="1075">
        <v>5.01809431670543E-2</v>
      </c>
    </row>
    <row r="1231" spans="1:7" x14ac:dyDescent="0.3">
      <c r="A1231" s="11" t="s">
        <v>1222</v>
      </c>
      <c r="B1231" s="11"/>
      <c r="C1231" s="1076">
        <v>1</v>
      </c>
      <c r="D1231" s="1076">
        <v>223.13996139849999</v>
      </c>
      <c r="E1231" s="1077">
        <v>246.04176829820801</v>
      </c>
      <c r="F1231" s="1078">
        <v>4.56335323651261E-2</v>
      </c>
      <c r="G1231" s="1079">
        <v>5.0367515861899803E-2</v>
      </c>
    </row>
    <row r="1232" spans="1:7" x14ac:dyDescent="0.3">
      <c r="A1232" s="6" t="s">
        <v>1075</v>
      </c>
      <c r="B1232" s="6"/>
      <c r="C1232" s="1072">
        <v>3</v>
      </c>
      <c r="D1232" s="1072">
        <v>89.394134531430694</v>
      </c>
      <c r="E1232" s="1073">
        <v>97.486197689873606</v>
      </c>
      <c r="F1232" s="1074">
        <v>1.8281665488447601E-2</v>
      </c>
      <c r="G1232" s="1075">
        <v>1.99610701731287E-2</v>
      </c>
    </row>
    <row r="1233" spans="1:7" x14ac:dyDescent="0.3">
      <c r="A1233" s="11" t="s">
        <v>1067</v>
      </c>
      <c r="B1233" s="11"/>
      <c r="C1233" s="1076">
        <v>2</v>
      </c>
      <c r="D1233" s="1076">
        <v>49.713188781601701</v>
      </c>
      <c r="E1233" s="1077">
        <v>61.7005735283687</v>
      </c>
      <c r="F1233" s="1078">
        <v>1.0166661296438201E-2</v>
      </c>
      <c r="G1233" s="1079">
        <v>1.2535413066919099E-2</v>
      </c>
    </row>
    <row r="1234" spans="1:7" x14ac:dyDescent="0.3">
      <c r="A1234" s="6" t="s">
        <v>1019</v>
      </c>
      <c r="B1234" s="6" t="s">
        <v>1020</v>
      </c>
      <c r="C1234" s="1072">
        <v>847</v>
      </c>
      <c r="D1234" s="1072">
        <v>324921.30481664202</v>
      </c>
      <c r="E1234" s="1073">
        <v>13404.9057989338</v>
      </c>
      <c r="F1234" s="1074">
        <v>98.886345500752995</v>
      </c>
      <c r="G1234" s="1075">
        <v>0.59643389904077604</v>
      </c>
    </row>
    <row r="1235" spans="1:7" x14ac:dyDescent="0.3">
      <c r="A1235" s="11" t="s">
        <v>1017</v>
      </c>
      <c r="B1235" s="11" t="s">
        <v>1018</v>
      </c>
      <c r="C1235" s="1076">
        <v>6</v>
      </c>
      <c r="D1235" s="1076">
        <v>2482.2485056048999</v>
      </c>
      <c r="E1235" s="1077">
        <v>1808.8488697519001</v>
      </c>
      <c r="F1235" s="1078">
        <v>0.75544594861974801</v>
      </c>
      <c r="G1235" s="1079">
        <v>0.556123872822332</v>
      </c>
    </row>
    <row r="1236" spans="1:7" x14ac:dyDescent="0.3">
      <c r="A1236" s="6" t="s">
        <v>1015</v>
      </c>
      <c r="B1236" s="6" t="s">
        <v>1092</v>
      </c>
      <c r="C1236" s="1072">
        <v>8</v>
      </c>
      <c r="D1236" s="1072">
        <v>1177.00365077621</v>
      </c>
      <c r="E1236" s="1073">
        <v>725.51756844671604</v>
      </c>
      <c r="F1236" s="1074">
        <v>0.35820855062731</v>
      </c>
      <c r="G1236" s="1075">
        <v>0.22093493344415299</v>
      </c>
    </row>
    <row r="1237" spans="1:7" x14ac:dyDescent="0.3">
      <c r="A1237" s="11" t="s">
        <v>6354</v>
      </c>
      <c r="B1237" s="11" t="s">
        <v>6355</v>
      </c>
      <c r="C1237" s="1076">
        <v>1411</v>
      </c>
      <c r="D1237" s="1076">
        <v>488982.44302697701</v>
      </c>
      <c r="E1237" s="1077">
        <v>12984.490356594601</v>
      </c>
      <c r="F1237" s="1078">
        <v>59.8097569272309</v>
      </c>
      <c r="G1237" s="1079">
        <v>1.5881944702236399</v>
      </c>
    </row>
    <row r="1238" spans="1:7" x14ac:dyDescent="0.3">
      <c r="A1238" s="6" t="s">
        <v>6354</v>
      </c>
      <c r="B1238" s="6" t="s">
        <v>6356</v>
      </c>
      <c r="C1238" s="1072">
        <v>2272</v>
      </c>
      <c r="D1238" s="1072">
        <v>817563</v>
      </c>
      <c r="E1238" s="1073">
        <v>0</v>
      </c>
      <c r="F1238" s="1074">
        <v>100</v>
      </c>
      <c r="G1238" s="1075">
        <v>0</v>
      </c>
    </row>
    <row r="1239" spans="1:7" x14ac:dyDescent="0.3">
      <c r="A1239" s="3449" t="s">
        <v>442</v>
      </c>
      <c r="B1239" s="3450"/>
      <c r="C1239" s="3450"/>
      <c r="D1239" s="3450"/>
      <c r="E1239" s="3450"/>
      <c r="F1239" s="3450"/>
      <c r="G1239" s="3450"/>
    </row>
    <row r="1240" spans="1:7" x14ac:dyDescent="0.3">
      <c r="A1240" s="11" t="s">
        <v>1219</v>
      </c>
      <c r="B1240" s="11"/>
      <c r="C1240" s="1084">
        <v>2005</v>
      </c>
      <c r="D1240" s="1084">
        <v>684391.87278873799</v>
      </c>
      <c r="E1240" s="1085">
        <v>11454.570765819401</v>
      </c>
      <c r="F1240" s="1086">
        <v>90.543338656507999</v>
      </c>
      <c r="G1240" s="1087">
        <v>1.2545148902321901</v>
      </c>
    </row>
    <row r="1241" spans="1:7" x14ac:dyDescent="0.3">
      <c r="A1241" s="6" t="s">
        <v>6357</v>
      </c>
      <c r="B1241" s="6"/>
      <c r="C1241" s="1080">
        <v>46</v>
      </c>
      <c r="D1241" s="1080">
        <v>21709.200742053999</v>
      </c>
      <c r="E1241" s="1081">
        <v>2825.86583220076</v>
      </c>
      <c r="F1241" s="1082">
        <v>2.8720731395310901</v>
      </c>
      <c r="G1241" s="1083">
        <v>0.38212307243160798</v>
      </c>
    </row>
    <row r="1242" spans="1:7" x14ac:dyDescent="0.3">
      <c r="A1242" s="11" t="s">
        <v>6359</v>
      </c>
      <c r="B1242" s="11"/>
      <c r="C1242" s="1084">
        <v>42</v>
      </c>
      <c r="D1242" s="1084">
        <v>20465.4884044809</v>
      </c>
      <c r="E1242" s="1085">
        <v>6580.43286398073</v>
      </c>
      <c r="F1242" s="1086">
        <v>2.70753309770783</v>
      </c>
      <c r="G1242" s="1087">
        <v>0.87464224933597201</v>
      </c>
    </row>
    <row r="1243" spans="1:7" x14ac:dyDescent="0.3">
      <c r="A1243" s="6" t="s">
        <v>6358</v>
      </c>
      <c r="B1243" s="6"/>
      <c r="C1243" s="1080">
        <v>31</v>
      </c>
      <c r="D1243" s="1080">
        <v>8611.0899780929503</v>
      </c>
      <c r="E1243" s="1081">
        <v>3161.3299463529202</v>
      </c>
      <c r="F1243" s="1082">
        <v>1.13922573760429</v>
      </c>
      <c r="G1243" s="1083">
        <v>0.41808033461708599</v>
      </c>
    </row>
    <row r="1244" spans="1:7" x14ac:dyDescent="0.3">
      <c r="A1244" s="11" t="s">
        <v>6361</v>
      </c>
      <c r="B1244" s="11"/>
      <c r="C1244" s="1084">
        <v>17</v>
      </c>
      <c r="D1244" s="1084">
        <v>7400.1698188112796</v>
      </c>
      <c r="E1244" s="1085">
        <v>3903.8801889874899</v>
      </c>
      <c r="F1244" s="1086">
        <v>0.97902401922170301</v>
      </c>
      <c r="G1244" s="1087">
        <v>0.51839878958910501</v>
      </c>
    </row>
    <row r="1245" spans="1:7" x14ac:dyDescent="0.3">
      <c r="A1245" s="6" t="s">
        <v>6360</v>
      </c>
      <c r="B1245" s="6"/>
      <c r="C1245" s="1080">
        <v>19</v>
      </c>
      <c r="D1245" s="1080">
        <v>4554.58986365903</v>
      </c>
      <c r="E1245" s="1081">
        <v>1535.23054985305</v>
      </c>
      <c r="F1245" s="1082">
        <v>0.602560884871987</v>
      </c>
      <c r="G1245" s="1083">
        <v>0.202614475830696</v>
      </c>
    </row>
    <row r="1246" spans="1:7" x14ac:dyDescent="0.3">
      <c r="A1246" s="11" t="s">
        <v>6363</v>
      </c>
      <c r="B1246" s="11"/>
      <c r="C1246" s="1084">
        <v>7</v>
      </c>
      <c r="D1246" s="1084">
        <v>3096.5140631219901</v>
      </c>
      <c r="E1246" s="1085">
        <v>2248.36647146515</v>
      </c>
      <c r="F1246" s="1086">
        <v>0.40966109128306299</v>
      </c>
      <c r="G1246" s="1087">
        <v>0.29730908358134001</v>
      </c>
    </row>
    <row r="1247" spans="1:7" x14ac:dyDescent="0.3">
      <c r="A1247" s="6" t="s">
        <v>1067</v>
      </c>
      <c r="B1247" s="6"/>
      <c r="C1247" s="1080">
        <v>2</v>
      </c>
      <c r="D1247" s="1080">
        <v>2463.4792777374701</v>
      </c>
      <c r="E1247" s="1081">
        <v>1770.1994111619299</v>
      </c>
      <c r="F1247" s="1082">
        <v>0.32591216726257899</v>
      </c>
      <c r="G1247" s="1083">
        <v>0.233539383097498</v>
      </c>
    </row>
    <row r="1248" spans="1:7" x14ac:dyDescent="0.3">
      <c r="A1248" s="11" t="s">
        <v>6362</v>
      </c>
      <c r="B1248" s="11"/>
      <c r="C1248" s="1084">
        <v>3</v>
      </c>
      <c r="D1248" s="1084">
        <v>1416.4245950535301</v>
      </c>
      <c r="E1248" s="1085">
        <v>1040.2215208999601</v>
      </c>
      <c r="F1248" s="1086">
        <v>0.18738944293531601</v>
      </c>
      <c r="G1248" s="1087">
        <v>0.13783837223236201</v>
      </c>
    </row>
    <row r="1249" spans="1:7" x14ac:dyDescent="0.3">
      <c r="A1249" s="6" t="s">
        <v>1222</v>
      </c>
      <c r="B1249" s="6"/>
      <c r="C1249" s="1080">
        <v>2</v>
      </c>
      <c r="D1249" s="1080">
        <v>745.56970842035798</v>
      </c>
      <c r="E1249" s="1081">
        <v>830.60767005984201</v>
      </c>
      <c r="F1249" s="1082">
        <v>9.8637013800975698E-2</v>
      </c>
      <c r="G1249" s="1083">
        <v>0.10970947820681801</v>
      </c>
    </row>
    <row r="1250" spans="1:7" x14ac:dyDescent="0.3">
      <c r="A1250" s="11" t="s">
        <v>6364</v>
      </c>
      <c r="B1250" s="11"/>
      <c r="C1250" s="1084">
        <v>1</v>
      </c>
      <c r="D1250" s="1084">
        <v>675.40681741602396</v>
      </c>
      <c r="E1250" s="1085">
        <v>791.709568759229</v>
      </c>
      <c r="F1250" s="1086">
        <v>8.9354638229449806E-2</v>
      </c>
      <c r="G1250" s="1087">
        <v>0.104806812895944</v>
      </c>
    </row>
    <row r="1251" spans="1:7" x14ac:dyDescent="0.3">
      <c r="A1251" s="6" t="s">
        <v>1063</v>
      </c>
      <c r="B1251" s="6"/>
      <c r="C1251" s="1080">
        <v>1</v>
      </c>
      <c r="D1251" s="1080">
        <v>178.089441040964</v>
      </c>
      <c r="E1251" s="1081">
        <v>183.55265099374699</v>
      </c>
      <c r="F1251" s="1082">
        <v>2.3560789092388498E-2</v>
      </c>
      <c r="G1251" s="1083">
        <v>2.4299932113731999E-2</v>
      </c>
    </row>
    <row r="1252" spans="1:7" x14ac:dyDescent="0.3">
      <c r="A1252" s="11" t="s">
        <v>1071</v>
      </c>
      <c r="B1252" s="11"/>
      <c r="C1252" s="1084">
        <v>1</v>
      </c>
      <c r="D1252" s="1084">
        <v>108.75416895138299</v>
      </c>
      <c r="E1252" s="1085">
        <v>124.02520919660699</v>
      </c>
      <c r="F1252" s="1086">
        <v>1.4387905440121701E-2</v>
      </c>
      <c r="G1252" s="1087">
        <v>1.6384912767614501E-2</v>
      </c>
    </row>
    <row r="1253" spans="1:7" x14ac:dyDescent="0.3">
      <c r="A1253" s="6" t="s">
        <v>1226</v>
      </c>
      <c r="B1253" s="6"/>
      <c r="C1253" s="1080">
        <v>1</v>
      </c>
      <c r="D1253" s="1080">
        <v>55.491722191897701</v>
      </c>
      <c r="E1253" s="1081">
        <v>55.712326049875401</v>
      </c>
      <c r="F1253" s="1082">
        <v>7.3414165112460602E-3</v>
      </c>
      <c r="G1253" s="1083">
        <v>7.3711841142187502E-3</v>
      </c>
    </row>
    <row r="1254" spans="1:7" x14ac:dyDescent="0.3">
      <c r="A1254" s="11" t="s">
        <v>1019</v>
      </c>
      <c r="B1254" s="11"/>
      <c r="C1254" s="1084">
        <v>93</v>
      </c>
      <c r="D1254" s="1084">
        <v>58538.954788752002</v>
      </c>
      <c r="E1254" s="1085">
        <v>0.34436598578877903</v>
      </c>
      <c r="F1254" s="1086">
        <v>94.890808958598001</v>
      </c>
      <c r="G1254" s="1087">
        <v>4.3206806968844198</v>
      </c>
    </row>
    <row r="1255" spans="1:7" x14ac:dyDescent="0.3">
      <c r="A1255" s="6" t="s">
        <v>1017</v>
      </c>
      <c r="B1255" s="6" t="s">
        <v>1086</v>
      </c>
      <c r="C1255" s="1080">
        <v>2</v>
      </c>
      <c r="D1255" s="1080">
        <v>2484.3486653165701</v>
      </c>
      <c r="E1255" s="1081">
        <v>2585.66200210631</v>
      </c>
      <c r="F1255" s="1082">
        <v>4.0270936752768796</v>
      </c>
      <c r="G1255" s="1083">
        <v>4.1449223319818902</v>
      </c>
    </row>
    <row r="1256" spans="1:7" x14ac:dyDescent="0.3">
      <c r="A1256" s="11" t="s">
        <v>1015</v>
      </c>
      <c r="B1256" s="11" t="s">
        <v>1092</v>
      </c>
      <c r="C1256" s="1084">
        <v>1</v>
      </c>
      <c r="D1256" s="1084">
        <v>667.55515616129503</v>
      </c>
      <c r="E1256" s="1085">
        <v>669.62369079707003</v>
      </c>
      <c r="F1256" s="1086">
        <v>1.0820973661251601</v>
      </c>
      <c r="G1256" s="1087">
        <v>1.0761154663777901</v>
      </c>
    </row>
    <row r="1257" spans="1:7" x14ac:dyDescent="0.3">
      <c r="A1257" s="6" t="s">
        <v>6354</v>
      </c>
      <c r="B1257" s="6" t="s">
        <v>6355</v>
      </c>
      <c r="C1257" s="1080">
        <v>2178</v>
      </c>
      <c r="D1257" s="1080">
        <v>755872.14138976997</v>
      </c>
      <c r="E1257" s="1081">
        <v>2729.7820669733401</v>
      </c>
      <c r="F1257" s="1082">
        <v>92.454299104750305</v>
      </c>
      <c r="G1257" s="1083">
        <v>0.33389256448424098</v>
      </c>
    </row>
    <row r="1258" spans="1:7" x14ac:dyDescent="0.3">
      <c r="A1258" s="11" t="s">
        <v>6354</v>
      </c>
      <c r="B1258" s="11" t="s">
        <v>6356</v>
      </c>
      <c r="C1258" s="1084">
        <v>2274</v>
      </c>
      <c r="D1258" s="1084">
        <v>817563</v>
      </c>
      <c r="E1258" s="1085">
        <v>0</v>
      </c>
      <c r="F1258" s="1086">
        <v>100</v>
      </c>
      <c r="G1258" s="1087">
        <v>0</v>
      </c>
    </row>
    <row r="1259" spans="1:7" x14ac:dyDescent="0.3">
      <c r="A1259" s="3449" t="s">
        <v>56</v>
      </c>
      <c r="B1259" s="3450"/>
      <c r="C1259" s="3450"/>
      <c r="D1259" s="3450"/>
      <c r="E1259" s="3450"/>
      <c r="F1259" s="3450"/>
      <c r="G1259" s="3450"/>
    </row>
    <row r="1260" spans="1:7" x14ac:dyDescent="0.3">
      <c r="A1260" s="11" t="s">
        <v>1219</v>
      </c>
      <c r="B1260" s="11"/>
      <c r="C1260" s="1092">
        <v>57</v>
      </c>
      <c r="D1260" s="1092">
        <v>29624.6476202511</v>
      </c>
      <c r="E1260" s="1093">
        <v>4851.1501741009997</v>
      </c>
      <c r="F1260" s="1094">
        <v>41.444510772058599</v>
      </c>
      <c r="G1260" s="1095">
        <v>6.1879807540641796</v>
      </c>
    </row>
    <row r="1261" spans="1:7" x14ac:dyDescent="0.3">
      <c r="A1261" s="6" t="s">
        <v>6357</v>
      </c>
      <c r="B1261" s="6"/>
      <c r="C1261" s="1088">
        <v>41</v>
      </c>
      <c r="D1261" s="1088">
        <v>16219.271720532</v>
      </c>
      <c r="E1261" s="1089">
        <v>2809.0856524649498</v>
      </c>
      <c r="F1261" s="1090">
        <v>22.690557881168701</v>
      </c>
      <c r="G1261" s="1091">
        <v>2.9875417734258898</v>
      </c>
    </row>
    <row r="1262" spans="1:7" x14ac:dyDescent="0.3">
      <c r="A1262" s="11" t="s">
        <v>6359</v>
      </c>
      <c r="B1262" s="11"/>
      <c r="C1262" s="1092">
        <v>29</v>
      </c>
      <c r="D1262" s="1092">
        <v>8495.9240041882695</v>
      </c>
      <c r="E1262" s="1093">
        <v>3240.8549827448301</v>
      </c>
      <c r="F1262" s="1094">
        <v>11.885691213065201</v>
      </c>
      <c r="G1262" s="1095">
        <v>3.5758130696922001</v>
      </c>
    </row>
    <row r="1263" spans="1:7" x14ac:dyDescent="0.3">
      <c r="A1263" s="6" t="s">
        <v>6358</v>
      </c>
      <c r="B1263" s="6"/>
      <c r="C1263" s="1088">
        <v>16</v>
      </c>
      <c r="D1263" s="1088">
        <v>7097.47802178659</v>
      </c>
      <c r="E1263" s="1089">
        <v>3337.5363979403701</v>
      </c>
      <c r="F1263" s="1090">
        <v>9.9292828086604903</v>
      </c>
      <c r="G1263" s="1091">
        <v>5.0763807617861501</v>
      </c>
    </row>
    <row r="1264" spans="1:7" x14ac:dyDescent="0.3">
      <c r="A1264" s="11" t="s">
        <v>6361</v>
      </c>
      <c r="B1264" s="11"/>
      <c r="C1264" s="1092">
        <v>7</v>
      </c>
      <c r="D1264" s="1092">
        <v>3615.3727060173401</v>
      </c>
      <c r="E1264" s="1093">
        <v>3065.2642987549202</v>
      </c>
      <c r="F1264" s="1094">
        <v>5.0578611087719896</v>
      </c>
      <c r="G1264" s="1095">
        <v>4.1269118739194104</v>
      </c>
    </row>
    <row r="1265" spans="1:7" x14ac:dyDescent="0.3">
      <c r="A1265" s="6" t="s">
        <v>6360</v>
      </c>
      <c r="B1265" s="6"/>
      <c r="C1265" s="1088">
        <v>14</v>
      </c>
      <c r="D1265" s="1088">
        <v>3258.81430270381</v>
      </c>
      <c r="E1265" s="1089">
        <v>866.04479156190996</v>
      </c>
      <c r="F1265" s="1090">
        <v>4.5590403708370699</v>
      </c>
      <c r="G1265" s="1091">
        <v>1.4102824884079399</v>
      </c>
    </row>
    <row r="1266" spans="1:7" x14ac:dyDescent="0.3">
      <c r="A1266" s="11" t="s">
        <v>6363</v>
      </c>
      <c r="B1266" s="11"/>
      <c r="C1266" s="1092">
        <v>5</v>
      </c>
      <c r="D1266" s="1092">
        <v>1648.4866494769799</v>
      </c>
      <c r="E1266" s="1093">
        <v>1250.3574230674601</v>
      </c>
      <c r="F1266" s="1094">
        <v>2.3062121641960101</v>
      </c>
      <c r="G1266" s="1095">
        <v>1.7245660185039899</v>
      </c>
    </row>
    <row r="1267" spans="1:7" x14ac:dyDescent="0.3">
      <c r="A1267" s="6" t="s">
        <v>6362</v>
      </c>
      <c r="B1267" s="6"/>
      <c r="C1267" s="1088">
        <v>1</v>
      </c>
      <c r="D1267" s="1088">
        <v>1177.93824389156</v>
      </c>
      <c r="E1267" s="1089">
        <v>1157.6478474574801</v>
      </c>
      <c r="F1267" s="1090">
        <v>1.64792084157691</v>
      </c>
      <c r="G1267" s="1091">
        <v>1.6234964135066501</v>
      </c>
    </row>
    <row r="1268" spans="1:7" x14ac:dyDescent="0.3">
      <c r="A1268" s="11" t="s">
        <v>1063</v>
      </c>
      <c r="B1268" s="11"/>
      <c r="C1268" s="1092">
        <v>1</v>
      </c>
      <c r="D1268" s="1092">
        <v>178.089441040964</v>
      </c>
      <c r="E1268" s="1093">
        <v>183.55265099374699</v>
      </c>
      <c r="F1268" s="1094">
        <v>0.249144896243987</v>
      </c>
      <c r="G1268" s="1095">
        <v>0.24942138388819901</v>
      </c>
    </row>
    <row r="1269" spans="1:7" x14ac:dyDescent="0.3">
      <c r="A1269" s="6" t="s">
        <v>1071</v>
      </c>
      <c r="B1269" s="6"/>
      <c r="C1269" s="1088">
        <v>1</v>
      </c>
      <c r="D1269" s="1088">
        <v>108.75416895138299</v>
      </c>
      <c r="E1269" s="1089">
        <v>124.02520919660699</v>
      </c>
      <c r="F1269" s="1090">
        <v>0.152145719482947</v>
      </c>
      <c r="G1269" s="1091">
        <v>0.179328395395665</v>
      </c>
    </row>
    <row r="1270" spans="1:7" x14ac:dyDescent="0.3">
      <c r="A1270" s="11" t="s">
        <v>1226</v>
      </c>
      <c r="B1270" s="11"/>
      <c r="C1270" s="1092">
        <v>1</v>
      </c>
      <c r="D1270" s="1092">
        <v>55.491722191897701</v>
      </c>
      <c r="E1270" s="1093">
        <v>55.712326049875401</v>
      </c>
      <c r="F1270" s="1094">
        <v>7.7632223938084999E-2</v>
      </c>
      <c r="G1270" s="1095">
        <v>7.8029550242839099E-2</v>
      </c>
    </row>
    <row r="1271" spans="1:7" x14ac:dyDescent="0.3">
      <c r="A1271" s="6" t="s">
        <v>1019</v>
      </c>
      <c r="B1271" s="6" t="s">
        <v>1020</v>
      </c>
      <c r="C1271" s="1088">
        <v>2101</v>
      </c>
      <c r="D1271" s="1088">
        <v>746082.73139896698</v>
      </c>
      <c r="E1271" s="1089">
        <v>9292.6779908667595</v>
      </c>
      <c r="F1271" s="1090">
        <v>100</v>
      </c>
      <c r="G1271" s="1091">
        <v>0</v>
      </c>
    </row>
    <row r="1272" spans="1:7" x14ac:dyDescent="0.3">
      <c r="A1272" s="11" t="s">
        <v>6354</v>
      </c>
      <c r="B1272" s="11" t="s">
        <v>6355</v>
      </c>
      <c r="C1272" s="1092">
        <v>173</v>
      </c>
      <c r="D1272" s="1092">
        <v>71480.268601031799</v>
      </c>
      <c r="E1272" s="1093">
        <v>9292.6779908683002</v>
      </c>
      <c r="F1272" s="1094">
        <v>8.7430899638354393</v>
      </c>
      <c r="G1272" s="1095">
        <v>1.13663142667515</v>
      </c>
    </row>
    <row r="1273" spans="1:7" x14ac:dyDescent="0.3">
      <c r="A1273" s="6" t="s">
        <v>6354</v>
      </c>
      <c r="B1273" s="6" t="s">
        <v>6356</v>
      </c>
      <c r="C1273" s="1088">
        <v>2274</v>
      </c>
      <c r="D1273" s="1088">
        <v>817562.99999999895</v>
      </c>
      <c r="E1273" s="1089">
        <v>0</v>
      </c>
      <c r="F1273" s="1090">
        <v>100</v>
      </c>
      <c r="G1273" s="1091">
        <v>0</v>
      </c>
    </row>
    <row r="1274" spans="1:7" x14ac:dyDescent="0.3">
      <c r="A1274" s="3449" t="s">
        <v>76</v>
      </c>
      <c r="B1274" s="3450"/>
      <c r="C1274" s="3450"/>
      <c r="D1274" s="3450"/>
      <c r="E1274" s="3450"/>
      <c r="F1274" s="3450"/>
      <c r="G1274" s="3450"/>
    </row>
    <row r="1275" spans="1:7" x14ac:dyDescent="0.3">
      <c r="A1275" s="11" t="s">
        <v>1219</v>
      </c>
      <c r="B1275" s="11"/>
      <c r="C1275" s="1100">
        <v>166</v>
      </c>
      <c r="D1275" s="1100">
        <v>67448.624950238707</v>
      </c>
      <c r="E1275" s="1101">
        <v>8364.0206553159605</v>
      </c>
      <c r="F1275" s="1102">
        <v>94.35978105609</v>
      </c>
      <c r="G1275" s="1103">
        <v>2.5348862958782798</v>
      </c>
    </row>
    <row r="1276" spans="1:7" x14ac:dyDescent="0.3">
      <c r="A1276" s="6" t="s">
        <v>1063</v>
      </c>
      <c r="B1276" s="6"/>
      <c r="C1276" s="1096">
        <v>3</v>
      </c>
      <c r="D1276" s="1096">
        <v>2874.7704955777399</v>
      </c>
      <c r="E1276" s="1097">
        <v>1364.8883632321499</v>
      </c>
      <c r="F1276" s="1098">
        <v>4.0217678974086004</v>
      </c>
      <c r="G1276" s="1099">
        <v>1.68746319628466</v>
      </c>
    </row>
    <row r="1277" spans="1:7" x14ac:dyDescent="0.3">
      <c r="A1277" s="11" t="s">
        <v>6361</v>
      </c>
      <c r="B1277" s="11"/>
      <c r="C1277" s="1100">
        <v>1</v>
      </c>
      <c r="D1277" s="1100">
        <v>677.35116609708098</v>
      </c>
      <c r="E1277" s="1101">
        <v>718.18189515510096</v>
      </c>
      <c r="F1277" s="1102">
        <v>0.94760579297445902</v>
      </c>
      <c r="G1277" s="1103">
        <v>1.00651028619106</v>
      </c>
    </row>
    <row r="1278" spans="1:7" x14ac:dyDescent="0.3">
      <c r="A1278" s="6" t="s">
        <v>6359</v>
      </c>
      <c r="B1278" s="6"/>
      <c r="C1278" s="1096">
        <v>1</v>
      </c>
      <c r="D1278" s="1096">
        <v>479.52198911833398</v>
      </c>
      <c r="E1278" s="1097">
        <v>513.50234124722397</v>
      </c>
      <c r="F1278" s="1098">
        <v>0.67084525352694602</v>
      </c>
      <c r="G1278" s="1099">
        <v>0.71563338552448297</v>
      </c>
    </row>
    <row r="1279" spans="1:7" x14ac:dyDescent="0.3">
      <c r="A1279" s="11" t="s">
        <v>1019</v>
      </c>
      <c r="B1279" s="11" t="s">
        <v>1020</v>
      </c>
      <c r="C1279" s="1100">
        <v>2101</v>
      </c>
      <c r="D1279" s="1100">
        <v>746082.73139896698</v>
      </c>
      <c r="E1279" s="1101">
        <v>9292.6779908667595</v>
      </c>
      <c r="F1279" s="1102">
        <v>100</v>
      </c>
      <c r="G1279" s="1103">
        <v>0</v>
      </c>
    </row>
    <row r="1280" spans="1:7" x14ac:dyDescent="0.3">
      <c r="A1280" s="6" t="s">
        <v>6354</v>
      </c>
      <c r="B1280" s="6" t="s">
        <v>6355</v>
      </c>
      <c r="C1280" s="1096">
        <v>171</v>
      </c>
      <c r="D1280" s="1096">
        <v>71480.268601031901</v>
      </c>
      <c r="E1280" s="1097">
        <v>9292.6779908682802</v>
      </c>
      <c r="F1280" s="1098">
        <v>8.7430899638354393</v>
      </c>
      <c r="G1280" s="1099">
        <v>1.13663142667515</v>
      </c>
    </row>
    <row r="1281" spans="1:7" x14ac:dyDescent="0.3">
      <c r="A1281" s="11" t="s">
        <v>6354</v>
      </c>
      <c r="B1281" s="11" t="s">
        <v>6356</v>
      </c>
      <c r="C1281" s="1100">
        <v>2272</v>
      </c>
      <c r="D1281" s="1100">
        <v>817562.99999999895</v>
      </c>
      <c r="E1281" s="1101">
        <v>0</v>
      </c>
      <c r="F1281" s="1102">
        <v>100</v>
      </c>
      <c r="G1281" s="1103">
        <v>0</v>
      </c>
    </row>
    <row r="1282" spans="1:7" x14ac:dyDescent="0.3">
      <c r="A1282" s="3449" t="s">
        <v>59</v>
      </c>
      <c r="B1282" s="3450"/>
      <c r="C1282" s="3450"/>
      <c r="D1282" s="3450"/>
      <c r="E1282" s="3450"/>
      <c r="F1282" s="3450"/>
      <c r="G1282" s="3450"/>
    </row>
    <row r="1283" spans="1:7" x14ac:dyDescent="0.3">
      <c r="A1283" s="11" t="s">
        <v>1021</v>
      </c>
      <c r="B1283" s="11" t="s">
        <v>1098</v>
      </c>
      <c r="C1283" s="1108">
        <v>30</v>
      </c>
      <c r="D1283" s="1108">
        <v>12704.1452211295</v>
      </c>
      <c r="E1283" s="1109">
        <v>2840.7961387936798</v>
      </c>
      <c r="F1283" s="1110">
        <v>100</v>
      </c>
      <c r="G1283" s="1111">
        <v>0</v>
      </c>
    </row>
    <row r="1284" spans="1:7" x14ac:dyDescent="0.3">
      <c r="A1284" s="6" t="s">
        <v>1019</v>
      </c>
      <c r="B1284" s="6" t="s">
        <v>1020</v>
      </c>
      <c r="C1284" s="1104">
        <v>2154</v>
      </c>
      <c r="D1284" s="1104">
        <v>762763.28069688997</v>
      </c>
      <c r="E1284" s="1105">
        <v>11072.4869991757</v>
      </c>
      <c r="F1284" s="1106">
        <v>94.769819101568501</v>
      </c>
      <c r="G1284" s="1107">
        <v>1.14818409865842</v>
      </c>
    </row>
    <row r="1285" spans="1:7" x14ac:dyDescent="0.3">
      <c r="A1285" s="11" t="s">
        <v>1044</v>
      </c>
      <c r="B1285" s="11" t="s">
        <v>1045</v>
      </c>
      <c r="C1285" s="1108">
        <v>90</v>
      </c>
      <c r="D1285" s="1108">
        <v>42095.574081978797</v>
      </c>
      <c r="E1285" s="1109">
        <v>9144.5723154670304</v>
      </c>
      <c r="F1285" s="1110">
        <v>5.2301808984314899</v>
      </c>
      <c r="G1285" s="1111">
        <v>1.14818409865842</v>
      </c>
    </row>
    <row r="1286" spans="1:7" x14ac:dyDescent="0.3">
      <c r="A1286" s="6" t="s">
        <v>6354</v>
      </c>
      <c r="B1286" s="6" t="s">
        <v>6355</v>
      </c>
      <c r="C1286" s="1104">
        <v>30</v>
      </c>
      <c r="D1286" s="1104">
        <v>12704.1452211295</v>
      </c>
      <c r="E1286" s="1105">
        <v>2840.7961387936798</v>
      </c>
      <c r="F1286" s="1106">
        <v>1.5539041298504801</v>
      </c>
      <c r="G1286" s="1107">
        <v>0.34747122103051098</v>
      </c>
    </row>
    <row r="1287" spans="1:7" x14ac:dyDescent="0.3">
      <c r="A1287" s="11" t="s">
        <v>6354</v>
      </c>
      <c r="B1287" s="11" t="s">
        <v>6356</v>
      </c>
      <c r="C1287" s="1108">
        <v>2274</v>
      </c>
      <c r="D1287" s="1108">
        <v>817562.99999999802</v>
      </c>
      <c r="E1287" s="1109">
        <v>0</v>
      </c>
      <c r="F1287" s="1110">
        <v>100</v>
      </c>
      <c r="G1287" s="1111">
        <v>0</v>
      </c>
    </row>
    <row r="1288" spans="1:7" x14ac:dyDescent="0.3">
      <c r="A1288" s="3449" t="s">
        <v>64</v>
      </c>
      <c r="B1288" s="3450"/>
      <c r="C1288" s="3450"/>
      <c r="D1288" s="3450"/>
      <c r="E1288" s="3450"/>
      <c r="F1288" s="3450"/>
      <c r="G1288" s="3450"/>
    </row>
    <row r="1289" spans="1:7" x14ac:dyDescent="0.3">
      <c r="A1289" s="11" t="s">
        <v>1025</v>
      </c>
      <c r="B1289" s="11" t="s">
        <v>1100</v>
      </c>
      <c r="C1289" s="1116">
        <v>22</v>
      </c>
      <c r="D1289" s="1116">
        <v>6850.1161598205799</v>
      </c>
      <c r="E1289" s="1117">
        <v>1927.2362066916501</v>
      </c>
      <c r="F1289" s="1118">
        <v>100</v>
      </c>
      <c r="G1289" s="1119">
        <v>0</v>
      </c>
    </row>
    <row r="1290" spans="1:7" x14ac:dyDescent="0.3">
      <c r="A1290" s="6" t="s">
        <v>1019</v>
      </c>
      <c r="B1290" s="6" t="s">
        <v>1020</v>
      </c>
      <c r="C1290" s="1112">
        <v>2162</v>
      </c>
      <c r="D1290" s="1112">
        <v>768617.30975819903</v>
      </c>
      <c r="E1290" s="1113">
        <v>9925.5858430785793</v>
      </c>
      <c r="F1290" s="1114">
        <v>94.807585407724005</v>
      </c>
      <c r="G1290" s="1115">
        <v>1.1319858722279399</v>
      </c>
    </row>
    <row r="1291" spans="1:7" x14ac:dyDescent="0.3">
      <c r="A1291" s="11" t="s">
        <v>1044</v>
      </c>
      <c r="B1291" s="11" t="s">
        <v>1045</v>
      </c>
      <c r="C1291" s="1116">
        <v>90</v>
      </c>
      <c r="D1291" s="1116">
        <v>42095.574081978797</v>
      </c>
      <c r="E1291" s="1117">
        <v>9144.5723154670304</v>
      </c>
      <c r="F1291" s="1118">
        <v>5.1924145922759797</v>
      </c>
      <c r="G1291" s="1119">
        <v>1.1319858722279399</v>
      </c>
    </row>
    <row r="1292" spans="1:7" x14ac:dyDescent="0.3">
      <c r="A1292" s="6" t="s">
        <v>6354</v>
      </c>
      <c r="B1292" s="6" t="s">
        <v>6355</v>
      </c>
      <c r="C1292" s="1112">
        <v>22</v>
      </c>
      <c r="D1292" s="1112">
        <v>6850.1161598205799</v>
      </c>
      <c r="E1292" s="1113">
        <v>1927.2362066916501</v>
      </c>
      <c r="F1292" s="1114">
        <v>0.83787012864092303</v>
      </c>
      <c r="G1292" s="1115">
        <v>0.235729381918172</v>
      </c>
    </row>
    <row r="1293" spans="1:7" x14ac:dyDescent="0.3">
      <c r="A1293" s="11" t="s">
        <v>6354</v>
      </c>
      <c r="B1293" s="11" t="s">
        <v>6356</v>
      </c>
      <c r="C1293" s="1116">
        <v>2274</v>
      </c>
      <c r="D1293" s="1116">
        <v>817562.99999999802</v>
      </c>
      <c r="E1293" s="1117">
        <v>0</v>
      </c>
      <c r="F1293" s="1118">
        <v>100</v>
      </c>
      <c r="G1293" s="1119">
        <v>0</v>
      </c>
    </row>
    <row r="1294" spans="1:7" x14ac:dyDescent="0.3">
      <c r="A1294" s="3449" t="s">
        <v>66</v>
      </c>
      <c r="B1294" s="3450"/>
      <c r="C1294" s="3450"/>
      <c r="D1294" s="3450"/>
      <c r="E1294" s="3450"/>
      <c r="F1294" s="3450"/>
      <c r="G1294" s="3450"/>
    </row>
    <row r="1295" spans="1:7" x14ac:dyDescent="0.3">
      <c r="A1295" s="11" t="s">
        <v>1027</v>
      </c>
      <c r="B1295" s="11" t="s">
        <v>1101</v>
      </c>
      <c r="C1295" s="1124">
        <v>24</v>
      </c>
      <c r="D1295" s="1124">
        <v>10221.234877454801</v>
      </c>
      <c r="E1295" s="1125">
        <v>3762.3040091913199</v>
      </c>
      <c r="F1295" s="1126">
        <v>100</v>
      </c>
      <c r="G1295" s="1127">
        <v>0</v>
      </c>
    </row>
    <row r="1296" spans="1:7" x14ac:dyDescent="0.3">
      <c r="A1296" s="6" t="s">
        <v>1019</v>
      </c>
      <c r="B1296" s="6" t="s">
        <v>1020</v>
      </c>
      <c r="C1296" s="1120">
        <v>2160</v>
      </c>
      <c r="D1296" s="1120">
        <v>765246.19104056503</v>
      </c>
      <c r="E1296" s="1121">
        <v>7254.6733627241501</v>
      </c>
      <c r="F1296" s="1122">
        <v>94.785904074269098</v>
      </c>
      <c r="G1296" s="1123">
        <v>1.1142462236125901</v>
      </c>
    </row>
    <row r="1297" spans="1:7" x14ac:dyDescent="0.3">
      <c r="A1297" s="11" t="s">
        <v>1044</v>
      </c>
      <c r="B1297" s="11" t="s">
        <v>1045</v>
      </c>
      <c r="C1297" s="1124">
        <v>90</v>
      </c>
      <c r="D1297" s="1124">
        <v>42095.574081978797</v>
      </c>
      <c r="E1297" s="1125">
        <v>9144.5723154670304</v>
      </c>
      <c r="F1297" s="1126">
        <v>5.2140959257309403</v>
      </c>
      <c r="G1297" s="1127">
        <v>1.1142462236125901</v>
      </c>
    </row>
    <row r="1298" spans="1:7" x14ac:dyDescent="0.3">
      <c r="A1298" s="6" t="s">
        <v>6354</v>
      </c>
      <c r="B1298" s="6" t="s">
        <v>6355</v>
      </c>
      <c r="C1298" s="1120">
        <v>24</v>
      </c>
      <c r="D1298" s="1120">
        <v>10221.234877454801</v>
      </c>
      <c r="E1298" s="1121">
        <v>3762.3040091913199</v>
      </c>
      <c r="F1298" s="1122">
        <v>1.25020761427007</v>
      </c>
      <c r="G1298" s="1123">
        <v>0.46018521009284002</v>
      </c>
    </row>
    <row r="1299" spans="1:7" x14ac:dyDescent="0.3">
      <c r="A1299" s="11" t="s">
        <v>6354</v>
      </c>
      <c r="B1299" s="11" t="s">
        <v>6356</v>
      </c>
      <c r="C1299" s="1124">
        <v>2274</v>
      </c>
      <c r="D1299" s="1124">
        <v>817562.99999999802</v>
      </c>
      <c r="E1299" s="1125">
        <v>0</v>
      </c>
      <c r="F1299" s="1126">
        <v>100</v>
      </c>
      <c r="G1299" s="1127">
        <v>0</v>
      </c>
    </row>
    <row r="1300" spans="1:7" x14ac:dyDescent="0.3">
      <c r="A1300" s="3449" t="s">
        <v>68</v>
      </c>
      <c r="B1300" s="3450"/>
      <c r="C1300" s="3450"/>
      <c r="D1300" s="3450"/>
      <c r="E1300" s="3450"/>
      <c r="F1300" s="3450"/>
      <c r="G1300" s="3450"/>
    </row>
    <row r="1301" spans="1:7" x14ac:dyDescent="0.3">
      <c r="A1301" s="11" t="s">
        <v>1029</v>
      </c>
      <c r="B1301" s="11" t="s">
        <v>1102</v>
      </c>
      <c r="C1301" s="1132">
        <v>33</v>
      </c>
      <c r="D1301" s="1132">
        <v>12000.324805381601</v>
      </c>
      <c r="E1301" s="1133">
        <v>2925.37229995808</v>
      </c>
      <c r="F1301" s="1134">
        <v>100</v>
      </c>
      <c r="G1301" s="1135">
        <v>0</v>
      </c>
    </row>
    <row r="1302" spans="1:7" x14ac:dyDescent="0.3">
      <c r="A1302" s="6" t="s">
        <v>1019</v>
      </c>
      <c r="B1302" s="6" t="s">
        <v>1020</v>
      </c>
      <c r="C1302" s="1128">
        <v>2151</v>
      </c>
      <c r="D1302" s="1128">
        <v>763467.10111263802</v>
      </c>
      <c r="E1302" s="1129">
        <v>9618.5251360435104</v>
      </c>
      <c r="F1302" s="1130">
        <v>94.774388712608996</v>
      </c>
      <c r="G1302" s="1131">
        <v>1.1350206681408199</v>
      </c>
    </row>
    <row r="1303" spans="1:7" x14ac:dyDescent="0.3">
      <c r="A1303" s="11" t="s">
        <v>1044</v>
      </c>
      <c r="B1303" s="11" t="s">
        <v>1045</v>
      </c>
      <c r="C1303" s="1132">
        <v>90</v>
      </c>
      <c r="D1303" s="1132">
        <v>42095.574081978797</v>
      </c>
      <c r="E1303" s="1133">
        <v>9144.5723154670304</v>
      </c>
      <c r="F1303" s="1134">
        <v>5.2256112873909997</v>
      </c>
      <c r="G1303" s="1135">
        <v>1.1350206681408199</v>
      </c>
    </row>
    <row r="1304" spans="1:7" x14ac:dyDescent="0.3">
      <c r="A1304" s="6" t="s">
        <v>6354</v>
      </c>
      <c r="B1304" s="6" t="s">
        <v>6355</v>
      </c>
      <c r="C1304" s="1128">
        <v>33</v>
      </c>
      <c r="D1304" s="1128">
        <v>12000.324805381601</v>
      </c>
      <c r="E1304" s="1129">
        <v>2925.37229995808</v>
      </c>
      <c r="F1304" s="1130">
        <v>1.4678165236662599</v>
      </c>
      <c r="G1304" s="1131">
        <v>0.35781613159574199</v>
      </c>
    </row>
    <row r="1305" spans="1:7" x14ac:dyDescent="0.3">
      <c r="A1305" s="11" t="s">
        <v>6354</v>
      </c>
      <c r="B1305" s="11" t="s">
        <v>6356</v>
      </c>
      <c r="C1305" s="1132">
        <v>2274</v>
      </c>
      <c r="D1305" s="1132">
        <v>817562.99999999802</v>
      </c>
      <c r="E1305" s="1133">
        <v>0</v>
      </c>
      <c r="F1305" s="1134">
        <v>100</v>
      </c>
      <c r="G1305" s="1135">
        <v>0</v>
      </c>
    </row>
    <row r="1306" spans="1:7" x14ac:dyDescent="0.3">
      <c r="A1306" s="3449" t="s">
        <v>70</v>
      </c>
      <c r="B1306" s="3450"/>
      <c r="C1306" s="3450"/>
      <c r="D1306" s="3450"/>
      <c r="E1306" s="3450"/>
      <c r="F1306" s="3450"/>
      <c r="G1306" s="3450"/>
    </row>
    <row r="1307" spans="1:7" x14ac:dyDescent="0.3">
      <c r="A1307" s="11" t="s">
        <v>1031</v>
      </c>
      <c r="B1307" s="11" t="s">
        <v>1103</v>
      </c>
      <c r="C1307" s="1140">
        <v>14</v>
      </c>
      <c r="D1307" s="1140">
        <v>7359.1159092655598</v>
      </c>
      <c r="E1307" s="1141">
        <v>2620.78365478864</v>
      </c>
      <c r="F1307" s="1142">
        <v>100</v>
      </c>
      <c r="G1307" s="1143">
        <v>0</v>
      </c>
    </row>
    <row r="1308" spans="1:7" x14ac:dyDescent="0.3">
      <c r="A1308" s="6" t="s">
        <v>1019</v>
      </c>
      <c r="B1308" s="6" t="s">
        <v>1020</v>
      </c>
      <c r="C1308" s="1136">
        <v>2170</v>
      </c>
      <c r="D1308" s="1136">
        <v>768108.31000875402</v>
      </c>
      <c r="E1308" s="1137">
        <v>9587.46088965934</v>
      </c>
      <c r="F1308" s="1138">
        <v>94.804323342732303</v>
      </c>
      <c r="G1308" s="1139">
        <v>1.12770836965987</v>
      </c>
    </row>
    <row r="1309" spans="1:7" x14ac:dyDescent="0.3">
      <c r="A1309" s="11" t="s">
        <v>1044</v>
      </c>
      <c r="B1309" s="11" t="s">
        <v>1045</v>
      </c>
      <c r="C1309" s="1140">
        <v>90</v>
      </c>
      <c r="D1309" s="1140">
        <v>42095.574081978797</v>
      </c>
      <c r="E1309" s="1141">
        <v>9144.5723154670304</v>
      </c>
      <c r="F1309" s="1142">
        <v>5.1956766572677404</v>
      </c>
      <c r="G1309" s="1143">
        <v>1.12770836965987</v>
      </c>
    </row>
    <row r="1310" spans="1:7" x14ac:dyDescent="0.3">
      <c r="A1310" s="6" t="s">
        <v>6354</v>
      </c>
      <c r="B1310" s="6" t="s">
        <v>6355</v>
      </c>
      <c r="C1310" s="1136">
        <v>14</v>
      </c>
      <c r="D1310" s="1136">
        <v>7359.1159092655598</v>
      </c>
      <c r="E1310" s="1137">
        <v>2620.78365478864</v>
      </c>
      <c r="F1310" s="1138">
        <v>0.90012829705668895</v>
      </c>
      <c r="G1310" s="1139">
        <v>0.32056045280775203</v>
      </c>
    </row>
    <row r="1311" spans="1:7" x14ac:dyDescent="0.3">
      <c r="A1311" s="11" t="s">
        <v>6354</v>
      </c>
      <c r="B1311" s="11" t="s">
        <v>6356</v>
      </c>
      <c r="C1311" s="1140">
        <v>2274</v>
      </c>
      <c r="D1311" s="1140">
        <v>817562.99999999802</v>
      </c>
      <c r="E1311" s="1141">
        <v>0</v>
      </c>
      <c r="F1311" s="1142">
        <v>100</v>
      </c>
      <c r="G1311" s="1143">
        <v>0</v>
      </c>
    </row>
    <row r="1312" spans="1:7" x14ac:dyDescent="0.3">
      <c r="A1312" s="3449" t="s">
        <v>72</v>
      </c>
      <c r="B1312" s="3450"/>
      <c r="C1312" s="3450"/>
      <c r="D1312" s="3450"/>
      <c r="E1312" s="3450"/>
      <c r="F1312" s="3450"/>
      <c r="G1312" s="3450"/>
    </row>
    <row r="1313" spans="1:7" x14ac:dyDescent="0.3">
      <c r="A1313" s="11" t="s">
        <v>1023</v>
      </c>
      <c r="B1313" s="11" t="s">
        <v>1099</v>
      </c>
      <c r="C1313" s="1148">
        <v>8</v>
      </c>
      <c r="D1313" s="1148">
        <v>3153.7778325244299</v>
      </c>
      <c r="E1313" s="1149">
        <v>1920.3511775812799</v>
      </c>
      <c r="F1313" s="1150">
        <v>100</v>
      </c>
      <c r="G1313" s="1151">
        <v>0</v>
      </c>
    </row>
    <row r="1314" spans="1:7" x14ac:dyDescent="0.3">
      <c r="A1314" s="6" t="s">
        <v>1019</v>
      </c>
      <c r="B1314" s="6" t="s">
        <v>1020</v>
      </c>
      <c r="C1314" s="1144">
        <v>2176</v>
      </c>
      <c r="D1314" s="1144">
        <v>772313.64808549499</v>
      </c>
      <c r="E1314" s="1145">
        <v>10325.1954696099</v>
      </c>
      <c r="F1314" s="1146">
        <v>94.831152087160106</v>
      </c>
      <c r="G1314" s="1147">
        <v>1.1295507469549899</v>
      </c>
    </row>
    <row r="1315" spans="1:7" x14ac:dyDescent="0.3">
      <c r="A1315" s="11" t="s">
        <v>1044</v>
      </c>
      <c r="B1315" s="11" t="s">
        <v>1045</v>
      </c>
      <c r="C1315" s="1148">
        <v>90</v>
      </c>
      <c r="D1315" s="1148">
        <v>42095.574081978797</v>
      </c>
      <c r="E1315" s="1149">
        <v>9144.5723154670304</v>
      </c>
      <c r="F1315" s="1150">
        <v>5.1688479128398601</v>
      </c>
      <c r="G1315" s="1151">
        <v>1.1295507469549899</v>
      </c>
    </row>
    <row r="1316" spans="1:7" x14ac:dyDescent="0.3">
      <c r="A1316" s="6" t="s">
        <v>6354</v>
      </c>
      <c r="B1316" s="6" t="s">
        <v>6355</v>
      </c>
      <c r="C1316" s="1144">
        <v>8</v>
      </c>
      <c r="D1316" s="1144">
        <v>3153.7778325244299</v>
      </c>
      <c r="E1316" s="1145">
        <v>1920.3511775812799</v>
      </c>
      <c r="F1316" s="1146">
        <v>0.38575349331176201</v>
      </c>
      <c r="G1316" s="1147">
        <v>0.23488724142130701</v>
      </c>
    </row>
    <row r="1317" spans="1:7" x14ac:dyDescent="0.3">
      <c r="A1317" s="11" t="s">
        <v>6354</v>
      </c>
      <c r="B1317" s="11" t="s">
        <v>6356</v>
      </c>
      <c r="C1317" s="1148">
        <v>2274</v>
      </c>
      <c r="D1317" s="1148">
        <v>817562.99999999802</v>
      </c>
      <c r="E1317" s="1149">
        <v>0</v>
      </c>
      <c r="F1317" s="1150">
        <v>100</v>
      </c>
      <c r="G1317" s="1151">
        <v>0</v>
      </c>
    </row>
    <row r="1318" spans="1:7" x14ac:dyDescent="0.3">
      <c r="A1318" s="3449" t="s">
        <v>79</v>
      </c>
      <c r="B1318" s="3450"/>
      <c r="C1318" s="3450"/>
      <c r="D1318" s="3450"/>
      <c r="E1318" s="3450"/>
      <c r="F1318" s="3450"/>
      <c r="G1318" s="3450"/>
    </row>
    <row r="1319" spans="1:7" x14ac:dyDescent="0.3">
      <c r="A1319" s="11" t="s">
        <v>1040</v>
      </c>
      <c r="B1319" s="11" t="s">
        <v>1104</v>
      </c>
      <c r="C1319" s="1156">
        <v>34</v>
      </c>
      <c r="D1319" s="1156">
        <v>8025.02078182072</v>
      </c>
      <c r="E1319" s="1157">
        <v>2865.36373553771</v>
      </c>
      <c r="F1319" s="1158">
        <v>100</v>
      </c>
      <c r="G1319" s="1159">
        <v>0</v>
      </c>
    </row>
    <row r="1320" spans="1:7" x14ac:dyDescent="0.3">
      <c r="A1320" s="6" t="s">
        <v>1019</v>
      </c>
      <c r="B1320" s="6" t="s">
        <v>1020</v>
      </c>
      <c r="C1320" s="1152">
        <v>2150</v>
      </c>
      <c r="D1320" s="1152">
        <v>767442.40513619897</v>
      </c>
      <c r="E1320" s="1153">
        <v>9607.8537928731603</v>
      </c>
      <c r="F1320" s="1154">
        <v>94.800049514337402</v>
      </c>
      <c r="G1320" s="1155">
        <v>1.13099770346948</v>
      </c>
    </row>
    <row r="1321" spans="1:7" x14ac:dyDescent="0.3">
      <c r="A1321" s="11" t="s">
        <v>1044</v>
      </c>
      <c r="B1321" s="11" t="s">
        <v>1045</v>
      </c>
      <c r="C1321" s="1156">
        <v>90</v>
      </c>
      <c r="D1321" s="1156">
        <v>42095.574081978797</v>
      </c>
      <c r="E1321" s="1157">
        <v>9144.5723154670304</v>
      </c>
      <c r="F1321" s="1158">
        <v>5.1999504856626002</v>
      </c>
      <c r="G1321" s="1159">
        <v>1.13099770346948</v>
      </c>
    </row>
    <row r="1322" spans="1:7" x14ac:dyDescent="0.3">
      <c r="A1322" s="6" t="s">
        <v>6354</v>
      </c>
      <c r="B1322" s="6" t="s">
        <v>6355</v>
      </c>
      <c r="C1322" s="1152">
        <v>34</v>
      </c>
      <c r="D1322" s="1152">
        <v>8025.02078182072</v>
      </c>
      <c r="E1322" s="1153">
        <v>2865.36373553771</v>
      </c>
      <c r="F1322" s="1154">
        <v>0.981578273701322</v>
      </c>
      <c r="G1322" s="1155">
        <v>0.35047620006503399</v>
      </c>
    </row>
    <row r="1323" spans="1:7" x14ac:dyDescent="0.3">
      <c r="A1323" s="11" t="s">
        <v>6354</v>
      </c>
      <c r="B1323" s="11" t="s">
        <v>6356</v>
      </c>
      <c r="C1323" s="1156">
        <v>2274</v>
      </c>
      <c r="D1323" s="1156">
        <v>817562.99999999802</v>
      </c>
      <c r="E1323" s="1157">
        <v>0</v>
      </c>
      <c r="F1323" s="1158">
        <v>100</v>
      </c>
      <c r="G1323" s="1159">
        <v>0</v>
      </c>
    </row>
    <row r="1324" spans="1:7" x14ac:dyDescent="0.3">
      <c r="A1324" s="3449" t="s">
        <v>62</v>
      </c>
      <c r="B1324" s="3450"/>
      <c r="C1324" s="3450"/>
      <c r="D1324" s="3450"/>
      <c r="E1324" s="3450"/>
      <c r="F1324" s="3450"/>
      <c r="G1324" s="3450"/>
    </row>
    <row r="1325" spans="1:7" x14ac:dyDescent="0.3">
      <c r="A1325" s="11" t="s">
        <v>1019</v>
      </c>
      <c r="B1325" s="11" t="s">
        <v>1020</v>
      </c>
      <c r="C1325" s="1164">
        <v>2184</v>
      </c>
      <c r="D1325" s="1164">
        <v>775467.42591801903</v>
      </c>
      <c r="E1325" s="1165">
        <v>9144.5723154648094</v>
      </c>
      <c r="F1325" s="1166">
        <v>94.851091098547897</v>
      </c>
      <c r="G1325" s="1167">
        <v>1.11851592054275</v>
      </c>
    </row>
    <row r="1326" spans="1:7" x14ac:dyDescent="0.3">
      <c r="A1326" s="6" t="s">
        <v>1044</v>
      </c>
      <c r="B1326" s="6" t="s">
        <v>1045</v>
      </c>
      <c r="C1326" s="1160">
        <v>90</v>
      </c>
      <c r="D1326" s="1160">
        <v>42095.574081978797</v>
      </c>
      <c r="E1326" s="1161">
        <v>9144.5723154670304</v>
      </c>
      <c r="F1326" s="1162">
        <v>5.1489089014521099</v>
      </c>
      <c r="G1326" s="1163">
        <v>1.11851592054275</v>
      </c>
    </row>
    <row r="1327" spans="1:7" x14ac:dyDescent="0.3">
      <c r="A1327" s="11" t="s">
        <v>6354</v>
      </c>
      <c r="B1327" s="11" t="s">
        <v>6355</v>
      </c>
      <c r="C1327" s="1164">
        <v>0</v>
      </c>
      <c r="D1327" s="1164">
        <v>0</v>
      </c>
      <c r="E1327" s="1165">
        <v>0</v>
      </c>
      <c r="F1327" s="1166">
        <v>0</v>
      </c>
      <c r="G1327" s="1167">
        <v>0</v>
      </c>
    </row>
    <row r="1328" spans="1:7" x14ac:dyDescent="0.3">
      <c r="A1328" s="6" t="s">
        <v>6354</v>
      </c>
      <c r="B1328" s="6" t="s">
        <v>6356</v>
      </c>
      <c r="C1328" s="1160">
        <v>2274</v>
      </c>
      <c r="D1328" s="1160">
        <v>817562.99999999802</v>
      </c>
      <c r="E1328" s="1161">
        <v>0</v>
      </c>
      <c r="F1328" s="1162">
        <v>100</v>
      </c>
      <c r="G1328" s="1163">
        <v>0</v>
      </c>
    </row>
    <row r="1329" spans="1:7" x14ac:dyDescent="0.3">
      <c r="A1329" s="3449" t="s">
        <v>74</v>
      </c>
      <c r="B1329" s="3450"/>
      <c r="C1329" s="3450"/>
      <c r="D1329" s="3450"/>
      <c r="E1329" s="3450"/>
      <c r="F1329" s="3450"/>
      <c r="G1329" s="3450"/>
    </row>
    <row r="1330" spans="1:7" x14ac:dyDescent="0.3">
      <c r="A1330" s="11" t="s">
        <v>1019</v>
      </c>
      <c r="B1330" s="11" t="s">
        <v>1020</v>
      </c>
      <c r="C1330" s="1172">
        <v>2184</v>
      </c>
      <c r="D1330" s="1172">
        <v>775467.42591801903</v>
      </c>
      <c r="E1330" s="1173">
        <v>9144.5723154648094</v>
      </c>
      <c r="F1330" s="1174">
        <v>94.851091098547897</v>
      </c>
      <c r="G1330" s="1175">
        <v>1.11851592054275</v>
      </c>
    </row>
    <row r="1331" spans="1:7" x14ac:dyDescent="0.3">
      <c r="A1331" s="6" t="s">
        <v>1044</v>
      </c>
      <c r="B1331" s="6" t="s">
        <v>1045</v>
      </c>
      <c r="C1331" s="1168">
        <v>90</v>
      </c>
      <c r="D1331" s="1168">
        <v>42095.574081978797</v>
      </c>
      <c r="E1331" s="1169">
        <v>9144.5723154670304</v>
      </c>
      <c r="F1331" s="1170">
        <v>5.1489089014521099</v>
      </c>
      <c r="G1331" s="1171">
        <v>1.11851592054275</v>
      </c>
    </row>
    <row r="1332" spans="1:7" x14ac:dyDescent="0.3">
      <c r="A1332" s="11" t="s">
        <v>6354</v>
      </c>
      <c r="B1332" s="11" t="s">
        <v>6355</v>
      </c>
      <c r="C1332" s="1172">
        <v>0</v>
      </c>
      <c r="D1332" s="1172">
        <v>0</v>
      </c>
      <c r="E1332" s="1173">
        <v>0</v>
      </c>
      <c r="F1332" s="1174">
        <v>0</v>
      </c>
      <c r="G1332" s="1175">
        <v>0</v>
      </c>
    </row>
    <row r="1333" spans="1:7" x14ac:dyDescent="0.3">
      <c r="A1333" s="6" t="s">
        <v>6354</v>
      </c>
      <c r="B1333" s="6" t="s">
        <v>6356</v>
      </c>
      <c r="C1333" s="1168">
        <v>2274</v>
      </c>
      <c r="D1333" s="1168">
        <v>817562.99999999802</v>
      </c>
      <c r="E1333" s="1169">
        <v>0</v>
      </c>
      <c r="F1333" s="1170">
        <v>100</v>
      </c>
      <c r="G1333" s="1171">
        <v>0</v>
      </c>
    </row>
    <row r="1334" spans="1:7" x14ac:dyDescent="0.3">
      <c r="A1334" s="3449" t="s">
        <v>897</v>
      </c>
      <c r="B1334" s="3450"/>
      <c r="C1334" s="3450"/>
      <c r="D1334" s="3450"/>
      <c r="E1334" s="3450"/>
      <c r="F1334" s="3450"/>
      <c r="G1334" s="3450"/>
    </row>
    <row r="1335" spans="1:7" x14ac:dyDescent="0.3">
      <c r="A1335" s="11" t="s">
        <v>1021</v>
      </c>
      <c r="B1335" s="11" t="s">
        <v>1098</v>
      </c>
      <c r="C1335" s="1180">
        <v>265</v>
      </c>
      <c r="D1335" s="1180">
        <v>78318.867366118197</v>
      </c>
      <c r="E1335" s="1181">
        <v>9757.8947211328195</v>
      </c>
      <c r="F1335" s="1182">
        <v>100</v>
      </c>
      <c r="G1335" s="1183">
        <v>0</v>
      </c>
    </row>
    <row r="1336" spans="1:7" x14ac:dyDescent="0.3">
      <c r="A1336" s="6" t="s">
        <v>1019</v>
      </c>
      <c r="B1336" s="6" t="s">
        <v>1020</v>
      </c>
      <c r="C1336" s="1176">
        <v>2007</v>
      </c>
      <c r="D1336" s="1176">
        <v>738492.18783825997</v>
      </c>
      <c r="E1336" s="1177">
        <v>10073.812779420599</v>
      </c>
      <c r="F1336" s="1178">
        <v>99.898281939290897</v>
      </c>
      <c r="G1336" s="1179">
        <v>0.101280505730342</v>
      </c>
    </row>
    <row r="1337" spans="1:7" x14ac:dyDescent="0.3">
      <c r="A1337" s="11" t="s">
        <v>1044</v>
      </c>
      <c r="B1337" s="11" t="s">
        <v>1045</v>
      </c>
      <c r="C1337" s="1180">
        <v>2</v>
      </c>
      <c r="D1337" s="1180">
        <v>751.94479562112599</v>
      </c>
      <c r="E1337" s="1181">
        <v>746.44517444431403</v>
      </c>
      <c r="F1337" s="1182">
        <v>0.101718060709118</v>
      </c>
      <c r="G1337" s="1183">
        <v>0.101280505730341</v>
      </c>
    </row>
    <row r="1338" spans="1:7" x14ac:dyDescent="0.3">
      <c r="A1338" s="6" t="s">
        <v>6354</v>
      </c>
      <c r="B1338" s="6" t="s">
        <v>6355</v>
      </c>
      <c r="C1338" s="1176">
        <v>265</v>
      </c>
      <c r="D1338" s="1176">
        <v>78318.867366118197</v>
      </c>
      <c r="E1338" s="1177">
        <v>9757.8947211328195</v>
      </c>
      <c r="F1338" s="1178">
        <v>9.5795513454153802</v>
      </c>
      <c r="G1338" s="1179">
        <v>1.19353428679292</v>
      </c>
    </row>
    <row r="1339" spans="1:7" x14ac:dyDescent="0.3">
      <c r="A1339" s="11" t="s">
        <v>6354</v>
      </c>
      <c r="B1339" s="11" t="s">
        <v>6356</v>
      </c>
      <c r="C1339" s="1180">
        <v>2274</v>
      </c>
      <c r="D1339" s="1180">
        <v>817562.99999999895</v>
      </c>
      <c r="E1339" s="1181">
        <v>0</v>
      </c>
      <c r="F1339" s="1182">
        <v>100</v>
      </c>
      <c r="G1339" s="1183">
        <v>0</v>
      </c>
    </row>
    <row r="1340" spans="1:7" x14ac:dyDescent="0.3">
      <c r="A1340" s="3449" t="s">
        <v>902</v>
      </c>
      <c r="B1340" s="3450"/>
      <c r="C1340" s="3450"/>
      <c r="D1340" s="3450"/>
      <c r="E1340" s="3450"/>
      <c r="F1340" s="3450"/>
      <c r="G1340" s="3450"/>
    </row>
    <row r="1341" spans="1:7" x14ac:dyDescent="0.3">
      <c r="A1341" s="11" t="s">
        <v>1023</v>
      </c>
      <c r="B1341" s="11" t="s">
        <v>1099</v>
      </c>
      <c r="C1341" s="1188">
        <v>191</v>
      </c>
      <c r="D1341" s="1188">
        <v>52902.418556528501</v>
      </c>
      <c r="E1341" s="1189">
        <v>8499.4979505610609</v>
      </c>
      <c r="F1341" s="1190">
        <v>100</v>
      </c>
      <c r="G1341" s="1191">
        <v>0</v>
      </c>
    </row>
    <row r="1342" spans="1:7" x14ac:dyDescent="0.3">
      <c r="A1342" s="6" t="s">
        <v>1019</v>
      </c>
      <c r="B1342" s="6" t="s">
        <v>1020</v>
      </c>
      <c r="C1342" s="1184">
        <v>2081</v>
      </c>
      <c r="D1342" s="1184">
        <v>763908.63664784899</v>
      </c>
      <c r="E1342" s="1185">
        <v>8330.7224613759408</v>
      </c>
      <c r="F1342" s="1186">
        <v>99.9016629320421</v>
      </c>
      <c r="G1342" s="1187">
        <v>9.7654141033273203E-2</v>
      </c>
    </row>
    <row r="1343" spans="1:7" x14ac:dyDescent="0.3">
      <c r="A1343" s="11" t="s">
        <v>1044</v>
      </c>
      <c r="B1343" s="11" t="s">
        <v>1045</v>
      </c>
      <c r="C1343" s="1188">
        <v>2</v>
      </c>
      <c r="D1343" s="1188">
        <v>751.94479562112599</v>
      </c>
      <c r="E1343" s="1189">
        <v>746.44517444431403</v>
      </c>
      <c r="F1343" s="1190">
        <v>9.8337067957872296E-2</v>
      </c>
      <c r="G1343" s="1191">
        <v>9.7654141033273703E-2</v>
      </c>
    </row>
    <row r="1344" spans="1:7" x14ac:dyDescent="0.3">
      <c r="A1344" s="6" t="s">
        <v>6354</v>
      </c>
      <c r="B1344" s="6" t="s">
        <v>6355</v>
      </c>
      <c r="C1344" s="1184">
        <v>191</v>
      </c>
      <c r="D1344" s="1184">
        <v>52902.418556528501</v>
      </c>
      <c r="E1344" s="1185">
        <v>8499.4979505610609</v>
      </c>
      <c r="F1344" s="1186">
        <v>6.4707451971931897</v>
      </c>
      <c r="G1344" s="1187">
        <v>1.0396138218780799</v>
      </c>
    </row>
    <row r="1345" spans="1:7" x14ac:dyDescent="0.3">
      <c r="A1345" s="11" t="s">
        <v>6354</v>
      </c>
      <c r="B1345" s="11" t="s">
        <v>6356</v>
      </c>
      <c r="C1345" s="1188">
        <v>2274</v>
      </c>
      <c r="D1345" s="1188">
        <v>817562.99999999802</v>
      </c>
      <c r="E1345" s="1189">
        <v>0</v>
      </c>
      <c r="F1345" s="1190">
        <v>100</v>
      </c>
      <c r="G1345" s="1191">
        <v>0</v>
      </c>
    </row>
    <row r="1346" spans="1:7" x14ac:dyDescent="0.3">
      <c r="A1346" s="3449" t="s">
        <v>904</v>
      </c>
      <c r="B1346" s="3450"/>
      <c r="C1346" s="3450"/>
      <c r="D1346" s="3450"/>
      <c r="E1346" s="3450"/>
      <c r="F1346" s="3450"/>
      <c r="G1346" s="3450"/>
    </row>
    <row r="1347" spans="1:7" x14ac:dyDescent="0.3">
      <c r="A1347" s="11" t="s">
        <v>1025</v>
      </c>
      <c r="B1347" s="11" t="s">
        <v>1100</v>
      </c>
      <c r="C1347" s="1196">
        <v>308</v>
      </c>
      <c r="D1347" s="1196">
        <v>92628.703624030997</v>
      </c>
      <c r="E1347" s="1197">
        <v>10797.9793510934</v>
      </c>
      <c r="F1347" s="1198">
        <v>100</v>
      </c>
      <c r="G1347" s="1199">
        <v>0</v>
      </c>
    </row>
    <row r="1348" spans="1:7" x14ac:dyDescent="0.3">
      <c r="A1348" s="6" t="s">
        <v>1019</v>
      </c>
      <c r="B1348" s="6" t="s">
        <v>1020</v>
      </c>
      <c r="C1348" s="1192">
        <v>1964</v>
      </c>
      <c r="D1348" s="1192">
        <v>724182.35158034705</v>
      </c>
      <c r="E1348" s="1193">
        <v>11016.8270297695</v>
      </c>
      <c r="F1348" s="1194">
        <v>99.8962740762328</v>
      </c>
      <c r="G1348" s="1195">
        <v>0.10317293187885899</v>
      </c>
    </row>
    <row r="1349" spans="1:7" x14ac:dyDescent="0.3">
      <c r="A1349" s="11" t="s">
        <v>1044</v>
      </c>
      <c r="B1349" s="11" t="s">
        <v>1045</v>
      </c>
      <c r="C1349" s="1196">
        <v>2</v>
      </c>
      <c r="D1349" s="1196">
        <v>751.94479562112599</v>
      </c>
      <c r="E1349" s="1197">
        <v>746.44517444431403</v>
      </c>
      <c r="F1349" s="1198">
        <v>0.10372592376718601</v>
      </c>
      <c r="G1349" s="1199">
        <v>0.10317293187886099</v>
      </c>
    </row>
    <row r="1350" spans="1:7" x14ac:dyDescent="0.3">
      <c r="A1350" s="6" t="s">
        <v>6354</v>
      </c>
      <c r="B1350" s="6" t="s">
        <v>6355</v>
      </c>
      <c r="C1350" s="1192">
        <v>308</v>
      </c>
      <c r="D1350" s="1192">
        <v>92628.703624030997</v>
      </c>
      <c r="E1350" s="1193">
        <v>10797.9793510934</v>
      </c>
      <c r="F1350" s="1194">
        <v>11.329855145601201</v>
      </c>
      <c r="G1350" s="1195">
        <v>1.3207519605331199</v>
      </c>
    </row>
    <row r="1351" spans="1:7" x14ac:dyDescent="0.3">
      <c r="A1351" s="11" t="s">
        <v>6354</v>
      </c>
      <c r="B1351" s="11" t="s">
        <v>6356</v>
      </c>
      <c r="C1351" s="1196">
        <v>2274</v>
      </c>
      <c r="D1351" s="1196">
        <v>817562.99999999895</v>
      </c>
      <c r="E1351" s="1197">
        <v>0</v>
      </c>
      <c r="F1351" s="1198">
        <v>100</v>
      </c>
      <c r="G1351" s="1199">
        <v>0</v>
      </c>
    </row>
    <row r="1352" spans="1:7" x14ac:dyDescent="0.3">
      <c r="A1352" s="3449" t="s">
        <v>906</v>
      </c>
      <c r="B1352" s="3450"/>
      <c r="C1352" s="3450"/>
      <c r="D1352" s="3450"/>
      <c r="E1352" s="3450"/>
      <c r="F1352" s="3450"/>
      <c r="G1352" s="3450"/>
    </row>
    <row r="1353" spans="1:7" x14ac:dyDescent="0.3">
      <c r="A1353" s="11" t="s">
        <v>1027</v>
      </c>
      <c r="B1353" s="11" t="s">
        <v>6206</v>
      </c>
      <c r="C1353" s="1204">
        <v>151</v>
      </c>
      <c r="D1353" s="1204">
        <v>52131.420526164096</v>
      </c>
      <c r="E1353" s="1205">
        <v>6814.6807575713701</v>
      </c>
      <c r="F1353" s="1206">
        <v>100</v>
      </c>
      <c r="G1353" s="1207">
        <v>0</v>
      </c>
    </row>
    <row r="1354" spans="1:7" x14ac:dyDescent="0.3">
      <c r="A1354" s="6" t="s">
        <v>1019</v>
      </c>
      <c r="B1354" s="6" t="s">
        <v>1020</v>
      </c>
      <c r="C1354" s="1200">
        <v>2121</v>
      </c>
      <c r="D1354" s="1200">
        <v>764679.63467821304</v>
      </c>
      <c r="E1354" s="1201">
        <v>6769.3573362727202</v>
      </c>
      <c r="F1354" s="1202">
        <v>99.901761984247102</v>
      </c>
      <c r="G1354" s="1203">
        <v>9.7526398592659796E-2</v>
      </c>
    </row>
    <row r="1355" spans="1:7" x14ac:dyDescent="0.3">
      <c r="A1355" s="11" t="s">
        <v>1044</v>
      </c>
      <c r="B1355" s="11" t="s">
        <v>1045</v>
      </c>
      <c r="C1355" s="1204">
        <v>2</v>
      </c>
      <c r="D1355" s="1204">
        <v>751.94479562112599</v>
      </c>
      <c r="E1355" s="1205">
        <v>746.44517444431403</v>
      </c>
      <c r="F1355" s="1206">
        <v>9.8238015752893398E-2</v>
      </c>
      <c r="G1355" s="1207">
        <v>9.7526398592658006E-2</v>
      </c>
    </row>
    <row r="1356" spans="1:7" x14ac:dyDescent="0.3">
      <c r="A1356" s="6" t="s">
        <v>6354</v>
      </c>
      <c r="B1356" s="6" t="s">
        <v>6355</v>
      </c>
      <c r="C1356" s="1200">
        <v>151</v>
      </c>
      <c r="D1356" s="1200">
        <v>52131.420526164096</v>
      </c>
      <c r="E1356" s="1201">
        <v>6814.6807575713701</v>
      </c>
      <c r="F1356" s="1202">
        <v>6.3764407790181599</v>
      </c>
      <c r="G1356" s="1203">
        <v>0.83353585687846599</v>
      </c>
    </row>
    <row r="1357" spans="1:7" x14ac:dyDescent="0.3">
      <c r="A1357" s="11" t="s">
        <v>6354</v>
      </c>
      <c r="B1357" s="11" t="s">
        <v>6356</v>
      </c>
      <c r="C1357" s="1204">
        <v>2274</v>
      </c>
      <c r="D1357" s="1204">
        <v>817562.99999999802</v>
      </c>
      <c r="E1357" s="1205">
        <v>0</v>
      </c>
      <c r="F1357" s="1206">
        <v>100</v>
      </c>
      <c r="G1357" s="1207">
        <v>0</v>
      </c>
    </row>
    <row r="1358" spans="1:7" x14ac:dyDescent="0.3">
      <c r="A1358" s="3449" t="s">
        <v>908</v>
      </c>
      <c r="B1358" s="3450"/>
      <c r="C1358" s="3450"/>
      <c r="D1358" s="3450"/>
      <c r="E1358" s="3450"/>
      <c r="F1358" s="3450"/>
      <c r="G1358" s="3450"/>
    </row>
    <row r="1359" spans="1:7" x14ac:dyDescent="0.3">
      <c r="A1359" s="11" t="s">
        <v>1029</v>
      </c>
      <c r="B1359" s="11" t="s">
        <v>1102</v>
      </c>
      <c r="C1359" s="1212">
        <v>173</v>
      </c>
      <c r="D1359" s="1212">
        <v>61042.207122600499</v>
      </c>
      <c r="E1359" s="1213">
        <v>3735.6234900321501</v>
      </c>
      <c r="F1359" s="1214">
        <v>100</v>
      </c>
      <c r="G1359" s="1215">
        <v>0</v>
      </c>
    </row>
    <row r="1360" spans="1:7" x14ac:dyDescent="0.3">
      <c r="A1360" s="6" t="s">
        <v>1019</v>
      </c>
      <c r="B1360" s="6" t="s">
        <v>1020</v>
      </c>
      <c r="C1360" s="1208">
        <v>2099</v>
      </c>
      <c r="D1360" s="1208">
        <v>755768.84808177699</v>
      </c>
      <c r="E1360" s="1209">
        <v>4205.66949687126</v>
      </c>
      <c r="F1360" s="1210">
        <v>99.900604873957107</v>
      </c>
      <c r="G1360" s="1211">
        <v>9.8711010532953197E-2</v>
      </c>
    </row>
    <row r="1361" spans="1:7" x14ac:dyDescent="0.3">
      <c r="A1361" s="11" t="s">
        <v>1044</v>
      </c>
      <c r="B1361" s="11" t="s">
        <v>1045</v>
      </c>
      <c r="C1361" s="1212">
        <v>2</v>
      </c>
      <c r="D1361" s="1212">
        <v>751.94479562112599</v>
      </c>
      <c r="E1361" s="1213">
        <v>746.44517444431403</v>
      </c>
      <c r="F1361" s="1214">
        <v>9.9395126042885501E-2</v>
      </c>
      <c r="G1361" s="1215">
        <v>9.8711010532954196E-2</v>
      </c>
    </row>
    <row r="1362" spans="1:7" x14ac:dyDescent="0.3">
      <c r="A1362" s="6" t="s">
        <v>6354</v>
      </c>
      <c r="B1362" s="6" t="s">
        <v>6355</v>
      </c>
      <c r="C1362" s="1208">
        <v>173</v>
      </c>
      <c r="D1362" s="1208">
        <v>61042.207122600499</v>
      </c>
      <c r="E1362" s="1209">
        <v>3735.6234900321501</v>
      </c>
      <c r="F1362" s="1210">
        <v>7.4663612617744004</v>
      </c>
      <c r="G1362" s="1211">
        <v>0.45692178951739398</v>
      </c>
    </row>
    <row r="1363" spans="1:7" x14ac:dyDescent="0.3">
      <c r="A1363" s="11" t="s">
        <v>6354</v>
      </c>
      <c r="B1363" s="11" t="s">
        <v>6356</v>
      </c>
      <c r="C1363" s="1212">
        <v>2274</v>
      </c>
      <c r="D1363" s="1212">
        <v>817562.99999999802</v>
      </c>
      <c r="E1363" s="1213">
        <v>0</v>
      </c>
      <c r="F1363" s="1214">
        <v>100</v>
      </c>
      <c r="G1363" s="1215">
        <v>0</v>
      </c>
    </row>
    <row r="1364" spans="1:7" x14ac:dyDescent="0.3">
      <c r="A1364" s="3449" t="s">
        <v>910</v>
      </c>
      <c r="B1364" s="3450"/>
      <c r="C1364" s="3450"/>
      <c r="D1364" s="3450"/>
      <c r="E1364" s="3450"/>
      <c r="F1364" s="3450"/>
      <c r="G1364" s="3450"/>
    </row>
    <row r="1365" spans="1:7" x14ac:dyDescent="0.3">
      <c r="A1365" s="11" t="s">
        <v>1031</v>
      </c>
      <c r="B1365" s="11" t="s">
        <v>1103</v>
      </c>
      <c r="C1365" s="1220">
        <v>258</v>
      </c>
      <c r="D1365" s="1220">
        <v>80611.990822356602</v>
      </c>
      <c r="E1365" s="1221">
        <v>6031.5405033302704</v>
      </c>
      <c r="F1365" s="1222">
        <v>100</v>
      </c>
      <c r="G1365" s="1223">
        <v>0</v>
      </c>
    </row>
    <row r="1366" spans="1:7" x14ac:dyDescent="0.3">
      <c r="A1366" s="6" t="s">
        <v>1019</v>
      </c>
      <c r="B1366" s="6" t="s">
        <v>1020</v>
      </c>
      <c r="C1366" s="1216">
        <v>2014</v>
      </c>
      <c r="D1366" s="1216">
        <v>736199.06438202097</v>
      </c>
      <c r="E1366" s="1217">
        <v>5979.0019620119401</v>
      </c>
      <c r="F1366" s="1218">
        <v>99.897965429688398</v>
      </c>
      <c r="G1366" s="1219">
        <v>0.10136135084914701</v>
      </c>
    </row>
    <row r="1367" spans="1:7" x14ac:dyDescent="0.3">
      <c r="A1367" s="11" t="s">
        <v>1044</v>
      </c>
      <c r="B1367" s="11" t="s">
        <v>1045</v>
      </c>
      <c r="C1367" s="1220">
        <v>2</v>
      </c>
      <c r="D1367" s="1220">
        <v>751.94479562112599</v>
      </c>
      <c r="E1367" s="1221">
        <v>746.44517444431403</v>
      </c>
      <c r="F1367" s="1222">
        <v>0.102034570311562</v>
      </c>
      <c r="G1367" s="1223">
        <v>0.10136135084914701</v>
      </c>
    </row>
    <row r="1368" spans="1:7" x14ac:dyDescent="0.3">
      <c r="A1368" s="6" t="s">
        <v>6354</v>
      </c>
      <c r="B1368" s="6" t="s">
        <v>6355</v>
      </c>
      <c r="C1368" s="1216">
        <v>258</v>
      </c>
      <c r="D1368" s="1216">
        <v>80611.990822356602</v>
      </c>
      <c r="E1368" s="1217">
        <v>6031.5405033302704</v>
      </c>
      <c r="F1368" s="1218">
        <v>9.8600341285450295</v>
      </c>
      <c r="G1368" s="1219">
        <v>0.73774626583277803</v>
      </c>
    </row>
    <row r="1369" spans="1:7" x14ac:dyDescent="0.3">
      <c r="A1369" s="11" t="s">
        <v>6354</v>
      </c>
      <c r="B1369" s="11" t="s">
        <v>6356</v>
      </c>
      <c r="C1369" s="1220">
        <v>2274</v>
      </c>
      <c r="D1369" s="1220">
        <v>817562.99999999895</v>
      </c>
      <c r="E1369" s="1221">
        <v>0</v>
      </c>
      <c r="F1369" s="1222">
        <v>100</v>
      </c>
      <c r="G1369" s="1223">
        <v>0</v>
      </c>
    </row>
    <row r="1370" spans="1:7" x14ac:dyDescent="0.3">
      <c r="A1370" s="3449" t="s">
        <v>914</v>
      </c>
      <c r="B1370" s="3450"/>
      <c r="C1370" s="3450"/>
      <c r="D1370" s="3450"/>
      <c r="E1370" s="3450"/>
      <c r="F1370" s="3450"/>
      <c r="G1370" s="3450"/>
    </row>
    <row r="1371" spans="1:7" x14ac:dyDescent="0.3">
      <c r="A1371" s="11" t="s">
        <v>1040</v>
      </c>
      <c r="B1371" s="11" t="s">
        <v>1104</v>
      </c>
      <c r="C1371" s="1228">
        <v>507</v>
      </c>
      <c r="D1371" s="1228">
        <v>163500.32476096199</v>
      </c>
      <c r="E1371" s="1229">
        <v>13856.2248422547</v>
      </c>
      <c r="F1371" s="1230">
        <v>100</v>
      </c>
      <c r="G1371" s="1231">
        <v>0</v>
      </c>
    </row>
    <row r="1372" spans="1:7" x14ac:dyDescent="0.3">
      <c r="A1372" s="6" t="s">
        <v>1019</v>
      </c>
      <c r="B1372" s="6" t="s">
        <v>1020</v>
      </c>
      <c r="C1372" s="1224">
        <v>1765</v>
      </c>
      <c r="D1372" s="1224">
        <v>653310.73044341698</v>
      </c>
      <c r="E1372" s="1225">
        <v>13816.2681967918</v>
      </c>
      <c r="F1372" s="1226">
        <v>99.885034749101607</v>
      </c>
      <c r="G1372" s="1227">
        <v>0.113841296891878</v>
      </c>
    </row>
    <row r="1373" spans="1:7" x14ac:dyDescent="0.3">
      <c r="A1373" s="11" t="s">
        <v>1044</v>
      </c>
      <c r="B1373" s="11" t="s">
        <v>1045</v>
      </c>
      <c r="C1373" s="1228">
        <v>2</v>
      </c>
      <c r="D1373" s="1228">
        <v>751.94479562112599</v>
      </c>
      <c r="E1373" s="1229">
        <v>746.44517444431403</v>
      </c>
      <c r="F1373" s="1230">
        <v>0.114965250898366</v>
      </c>
      <c r="G1373" s="1231">
        <v>0.113841296891879</v>
      </c>
    </row>
    <row r="1374" spans="1:7" x14ac:dyDescent="0.3">
      <c r="A1374" s="6" t="s">
        <v>6354</v>
      </c>
      <c r="B1374" s="6" t="s">
        <v>6355</v>
      </c>
      <c r="C1374" s="1224">
        <v>507</v>
      </c>
      <c r="D1374" s="1224">
        <v>163500.32476096199</v>
      </c>
      <c r="E1374" s="1225">
        <v>13856.2248422547</v>
      </c>
      <c r="F1374" s="1226">
        <v>19.998498557415399</v>
      </c>
      <c r="G1374" s="1227">
        <v>1.6948204410246701</v>
      </c>
    </row>
    <row r="1375" spans="1:7" x14ac:dyDescent="0.3">
      <c r="A1375" s="11" t="s">
        <v>6354</v>
      </c>
      <c r="B1375" s="11" t="s">
        <v>6356</v>
      </c>
      <c r="C1375" s="1228">
        <v>2274</v>
      </c>
      <c r="D1375" s="1228">
        <v>817563</v>
      </c>
      <c r="E1375" s="1229">
        <v>0</v>
      </c>
      <c r="F1375" s="1230">
        <v>100</v>
      </c>
      <c r="G1375" s="1231">
        <v>0</v>
      </c>
    </row>
    <row r="1376" spans="1:7" x14ac:dyDescent="0.3">
      <c r="A1376" s="3449" t="s">
        <v>900</v>
      </c>
      <c r="B1376" s="3450"/>
      <c r="C1376" s="3450"/>
      <c r="D1376" s="3450"/>
      <c r="E1376" s="3450"/>
      <c r="F1376" s="3450"/>
      <c r="G1376" s="3450"/>
    </row>
    <row r="1377" spans="1:7" x14ac:dyDescent="0.3">
      <c r="A1377" s="11" t="s">
        <v>1019</v>
      </c>
      <c r="B1377" s="11" t="s">
        <v>1020</v>
      </c>
      <c r="C1377" s="1236">
        <v>2268</v>
      </c>
      <c r="D1377" s="1236">
        <v>816025.35329348303</v>
      </c>
      <c r="E1377" s="1237">
        <v>661.30410387817903</v>
      </c>
      <c r="F1377" s="1238">
        <v>99.811923153748893</v>
      </c>
      <c r="G1377" s="1239">
        <v>8.0887234852492204E-2</v>
      </c>
    </row>
    <row r="1378" spans="1:7" x14ac:dyDescent="0.3">
      <c r="A1378" s="6" t="s">
        <v>1015</v>
      </c>
      <c r="B1378" s="6" t="s">
        <v>1092</v>
      </c>
      <c r="C1378" s="1232">
        <v>4</v>
      </c>
      <c r="D1378" s="1232">
        <v>785.70191089473099</v>
      </c>
      <c r="E1378" s="1233">
        <v>461.82493231888901</v>
      </c>
      <c r="F1378" s="1234">
        <v>9.6102919395169906E-2</v>
      </c>
      <c r="G1378" s="1235">
        <v>5.64879932578762E-2</v>
      </c>
    </row>
    <row r="1379" spans="1:7" x14ac:dyDescent="0.3">
      <c r="A1379" s="11" t="s">
        <v>1044</v>
      </c>
      <c r="B1379" s="11" t="s">
        <v>1045</v>
      </c>
      <c r="C1379" s="1236">
        <v>2</v>
      </c>
      <c r="D1379" s="1236">
        <v>751.94479562112599</v>
      </c>
      <c r="E1379" s="1237">
        <v>746.44517444431403</v>
      </c>
      <c r="F1379" s="1238">
        <v>9.1973926855927604E-2</v>
      </c>
      <c r="G1379" s="1239">
        <v>9.1301242160459206E-2</v>
      </c>
    </row>
    <row r="1380" spans="1:7" x14ac:dyDescent="0.3">
      <c r="A1380" s="6" t="s">
        <v>6354</v>
      </c>
      <c r="B1380" s="6" t="s">
        <v>6355</v>
      </c>
      <c r="C1380" s="1232">
        <v>0</v>
      </c>
      <c r="D1380" s="1232">
        <v>0</v>
      </c>
      <c r="E1380" s="1233">
        <v>0</v>
      </c>
      <c r="F1380" s="1234">
        <v>0</v>
      </c>
      <c r="G1380" s="1235">
        <v>0</v>
      </c>
    </row>
    <row r="1381" spans="1:7" x14ac:dyDescent="0.3">
      <c r="A1381" s="11" t="s">
        <v>6354</v>
      </c>
      <c r="B1381" s="11" t="s">
        <v>6356</v>
      </c>
      <c r="C1381" s="1236">
        <v>2274</v>
      </c>
      <c r="D1381" s="1236">
        <v>817562.99999999802</v>
      </c>
      <c r="E1381" s="1237">
        <v>0</v>
      </c>
      <c r="F1381" s="1238">
        <v>100</v>
      </c>
      <c r="G1381" s="1239">
        <v>0</v>
      </c>
    </row>
    <row r="1382" spans="1:7" x14ac:dyDescent="0.3">
      <c r="A1382" s="3449" t="s">
        <v>912</v>
      </c>
      <c r="B1382" s="3450"/>
      <c r="C1382" s="3450"/>
      <c r="D1382" s="3450"/>
      <c r="E1382" s="3450"/>
      <c r="F1382" s="3450"/>
      <c r="G1382" s="3450"/>
    </row>
    <row r="1383" spans="1:7" x14ac:dyDescent="0.3">
      <c r="A1383" s="11" t="s">
        <v>1019</v>
      </c>
      <c r="B1383" s="11" t="s">
        <v>1020</v>
      </c>
      <c r="C1383" s="1244">
        <v>2271</v>
      </c>
      <c r="D1383" s="1244">
        <v>815669.12065487204</v>
      </c>
      <c r="E1383" s="1245">
        <v>1232.70320184148</v>
      </c>
      <c r="F1383" s="1246">
        <v>99.768350653695606</v>
      </c>
      <c r="G1383" s="1247">
        <v>0.150777762917542</v>
      </c>
    </row>
    <row r="1384" spans="1:7" x14ac:dyDescent="0.3">
      <c r="A1384" s="6" t="s">
        <v>1017</v>
      </c>
      <c r="B1384" s="6" t="s">
        <v>1018</v>
      </c>
      <c r="C1384" s="1240">
        <v>1</v>
      </c>
      <c r="D1384" s="1240">
        <v>1141.93454950504</v>
      </c>
      <c r="E1384" s="1241">
        <v>1137.36372917533</v>
      </c>
      <c r="F1384" s="1242">
        <v>0.13967541944841499</v>
      </c>
      <c r="G1384" s="1243">
        <v>0.139116340780506</v>
      </c>
    </row>
    <row r="1385" spans="1:7" x14ac:dyDescent="0.3">
      <c r="A1385" s="11" t="s">
        <v>1044</v>
      </c>
      <c r="B1385" s="11" t="s">
        <v>1045</v>
      </c>
      <c r="C1385" s="1244">
        <v>2</v>
      </c>
      <c r="D1385" s="1244">
        <v>751.94479562112599</v>
      </c>
      <c r="E1385" s="1245">
        <v>746.44517444431403</v>
      </c>
      <c r="F1385" s="1246">
        <v>9.1973926855927604E-2</v>
      </c>
      <c r="G1385" s="1247">
        <v>9.1301242160459206E-2</v>
      </c>
    </row>
    <row r="1386" spans="1:7" x14ac:dyDescent="0.3">
      <c r="A1386" s="6" t="s">
        <v>6354</v>
      </c>
      <c r="B1386" s="6" t="s">
        <v>6355</v>
      </c>
      <c r="C1386" s="1240">
        <v>0</v>
      </c>
      <c r="D1386" s="1240">
        <v>0</v>
      </c>
      <c r="E1386" s="1241">
        <v>0</v>
      </c>
      <c r="F1386" s="1242">
        <v>0</v>
      </c>
      <c r="G1386" s="1243">
        <v>0</v>
      </c>
    </row>
    <row r="1387" spans="1:7" x14ac:dyDescent="0.3">
      <c r="A1387" s="11" t="s">
        <v>6354</v>
      </c>
      <c r="B1387" s="11" t="s">
        <v>6356</v>
      </c>
      <c r="C1387" s="1244">
        <v>2274</v>
      </c>
      <c r="D1387" s="1244">
        <v>817562.99999999802</v>
      </c>
      <c r="E1387" s="1245">
        <v>0</v>
      </c>
      <c r="F1387" s="1246">
        <v>100</v>
      </c>
      <c r="G1387" s="1247">
        <v>0</v>
      </c>
    </row>
    <row r="1388" spans="1:7" x14ac:dyDescent="0.3">
      <c r="A1388" s="3449" t="s">
        <v>548</v>
      </c>
      <c r="B1388" s="3450"/>
      <c r="C1388" s="3450"/>
      <c r="D1388" s="3450"/>
      <c r="E1388" s="3450"/>
      <c r="F1388" s="3450"/>
      <c r="G1388" s="3450"/>
    </row>
    <row r="1389" spans="1:7" x14ac:dyDescent="0.3">
      <c r="A1389" s="11" t="s">
        <v>1219</v>
      </c>
      <c r="B1389" s="11"/>
      <c r="C1389" s="1252">
        <v>2059</v>
      </c>
      <c r="D1389" s="1252">
        <v>702511.154220392</v>
      </c>
      <c r="E1389" s="1253">
        <v>7210.0391271872104</v>
      </c>
      <c r="F1389" s="1254">
        <v>93.029175215342605</v>
      </c>
      <c r="G1389" s="1255">
        <v>1.1297730196368501</v>
      </c>
    </row>
    <row r="1390" spans="1:7" x14ac:dyDescent="0.3">
      <c r="A1390" s="6" t="s">
        <v>6359</v>
      </c>
      <c r="B1390" s="6"/>
      <c r="C1390" s="1248">
        <v>20</v>
      </c>
      <c r="D1390" s="1248">
        <v>9950.2382939939307</v>
      </c>
      <c r="E1390" s="1249">
        <v>2913.3003890602999</v>
      </c>
      <c r="F1390" s="1250">
        <v>1.31764806313093</v>
      </c>
      <c r="G1390" s="1251">
        <v>0.38360150109019497</v>
      </c>
    </row>
    <row r="1391" spans="1:7" x14ac:dyDescent="0.3">
      <c r="A1391" s="11" t="s">
        <v>6361</v>
      </c>
      <c r="B1391" s="11"/>
      <c r="C1391" s="1252">
        <v>14</v>
      </c>
      <c r="D1391" s="1252">
        <v>8043.42525112765</v>
      </c>
      <c r="E1391" s="1253">
        <v>2544.6831448262701</v>
      </c>
      <c r="F1391" s="1254">
        <v>1.0651406921062501</v>
      </c>
      <c r="G1391" s="1255">
        <v>0.33589298972526599</v>
      </c>
    </row>
    <row r="1392" spans="1:7" x14ac:dyDescent="0.3">
      <c r="A1392" s="6" t="s">
        <v>1222</v>
      </c>
      <c r="B1392" s="6"/>
      <c r="C1392" s="1248">
        <v>18</v>
      </c>
      <c r="D1392" s="1248">
        <v>7046.4172436032804</v>
      </c>
      <c r="E1392" s="1249">
        <v>2629.5606551535402</v>
      </c>
      <c r="F1392" s="1250">
        <v>0.93311313344631996</v>
      </c>
      <c r="G1392" s="1251">
        <v>0.34673674696795997</v>
      </c>
    </row>
    <row r="1393" spans="1:7" x14ac:dyDescent="0.3">
      <c r="A1393" s="11" t="s">
        <v>6358</v>
      </c>
      <c r="B1393" s="11"/>
      <c r="C1393" s="1252">
        <v>10</v>
      </c>
      <c r="D1393" s="1252">
        <v>5352.0205110817697</v>
      </c>
      <c r="E1393" s="1253">
        <v>2829.49138542326</v>
      </c>
      <c r="F1393" s="1254">
        <v>0.70873473095821304</v>
      </c>
      <c r="G1393" s="1255">
        <v>0.37420102291011298</v>
      </c>
    </row>
    <row r="1394" spans="1:7" x14ac:dyDescent="0.3">
      <c r="A1394" s="6" t="s">
        <v>6357</v>
      </c>
      <c r="B1394" s="6"/>
      <c r="C1394" s="1248">
        <v>11</v>
      </c>
      <c r="D1394" s="1248">
        <v>5160.45919358836</v>
      </c>
      <c r="E1394" s="1249">
        <v>2480.3971218807701</v>
      </c>
      <c r="F1394" s="1250">
        <v>0.68336745918962105</v>
      </c>
      <c r="G1394" s="1251">
        <v>0.32860831817923702</v>
      </c>
    </row>
    <row r="1395" spans="1:7" x14ac:dyDescent="0.3">
      <c r="A1395" s="11" t="s">
        <v>1073</v>
      </c>
      <c r="B1395" s="11"/>
      <c r="C1395" s="1252">
        <v>5</v>
      </c>
      <c r="D1395" s="1252">
        <v>2491.2192190985102</v>
      </c>
      <c r="E1395" s="1253">
        <v>2512.0630823871402</v>
      </c>
      <c r="F1395" s="1254">
        <v>0.32989663984842199</v>
      </c>
      <c r="G1395" s="1255">
        <v>0.332488578357788</v>
      </c>
    </row>
    <row r="1396" spans="1:7" x14ac:dyDescent="0.3">
      <c r="A1396" s="6" t="s">
        <v>6363</v>
      </c>
      <c r="B1396" s="6"/>
      <c r="C1396" s="1248">
        <v>7</v>
      </c>
      <c r="D1396" s="1248">
        <v>2151.8361501784102</v>
      </c>
      <c r="E1396" s="1249">
        <v>2219.78822178981</v>
      </c>
      <c r="F1396" s="1250">
        <v>0.28495425452967799</v>
      </c>
      <c r="G1396" s="1251">
        <v>0.29422936854908199</v>
      </c>
    </row>
    <row r="1397" spans="1:7" x14ac:dyDescent="0.3">
      <c r="A1397" s="11" t="s">
        <v>6362</v>
      </c>
      <c r="B1397" s="11"/>
      <c r="C1397" s="1252">
        <v>3</v>
      </c>
      <c r="D1397" s="1252">
        <v>2019.03971061172</v>
      </c>
      <c r="E1397" s="1253">
        <v>2282.6169010390799</v>
      </c>
      <c r="F1397" s="1254">
        <v>0.26736884941517403</v>
      </c>
      <c r="G1397" s="1255">
        <v>0.30222216313155598</v>
      </c>
    </row>
    <row r="1398" spans="1:7" x14ac:dyDescent="0.3">
      <c r="A1398" s="6" t="s">
        <v>1224</v>
      </c>
      <c r="B1398" s="6"/>
      <c r="C1398" s="1248">
        <v>2</v>
      </c>
      <c r="D1398" s="1248">
        <v>1914.96562601197</v>
      </c>
      <c r="E1398" s="1249">
        <v>1300.7985097531</v>
      </c>
      <c r="F1398" s="1250">
        <v>0.25358696681666798</v>
      </c>
      <c r="G1398" s="1251">
        <v>0.171900141946009</v>
      </c>
    </row>
    <row r="1399" spans="1:7" x14ac:dyDescent="0.3">
      <c r="A1399" s="11" t="s">
        <v>6360</v>
      </c>
      <c r="B1399" s="11"/>
      <c r="C1399" s="1252">
        <v>6</v>
      </c>
      <c r="D1399" s="1252">
        <v>1576.85313211333</v>
      </c>
      <c r="E1399" s="1253">
        <v>1490.35384395284</v>
      </c>
      <c r="F1399" s="1254">
        <v>0.20881283583180299</v>
      </c>
      <c r="G1399" s="1255">
        <v>0.197266833302324</v>
      </c>
    </row>
    <row r="1400" spans="1:7" x14ac:dyDescent="0.3">
      <c r="A1400" s="6" t="s">
        <v>1063</v>
      </c>
      <c r="B1400" s="6"/>
      <c r="C1400" s="1248">
        <v>5</v>
      </c>
      <c r="D1400" s="1248">
        <v>1368.6765801281699</v>
      </c>
      <c r="E1400" s="1249">
        <v>1089.8336783376401</v>
      </c>
      <c r="F1400" s="1250">
        <v>0.18124531207932201</v>
      </c>
      <c r="G1400" s="1251">
        <v>0.14452166705041999</v>
      </c>
    </row>
    <row r="1401" spans="1:7" x14ac:dyDescent="0.3">
      <c r="A1401" s="11" t="s">
        <v>6364</v>
      </c>
      <c r="B1401" s="11"/>
      <c r="C1401" s="1252">
        <v>2</v>
      </c>
      <c r="D1401" s="1252">
        <v>1164.4289919159301</v>
      </c>
      <c r="E1401" s="1253">
        <v>1044.1089802487299</v>
      </c>
      <c r="F1401" s="1254">
        <v>0.15419807652020301</v>
      </c>
      <c r="G1401" s="1255">
        <v>0.13834144399960999</v>
      </c>
    </row>
    <row r="1402" spans="1:7" x14ac:dyDescent="0.3">
      <c r="A1402" s="6" t="s">
        <v>3099</v>
      </c>
      <c r="B1402" s="6"/>
      <c r="C1402" s="1248">
        <v>2</v>
      </c>
      <c r="D1402" s="1248">
        <v>1090.2698027090601</v>
      </c>
      <c r="E1402" s="1249">
        <v>1111.9992453155101</v>
      </c>
      <c r="F1402" s="1250">
        <v>0.14437763713627599</v>
      </c>
      <c r="G1402" s="1251">
        <v>0.14734978698694501</v>
      </c>
    </row>
    <row r="1403" spans="1:7" x14ac:dyDescent="0.3">
      <c r="A1403" s="11" t="s">
        <v>1075</v>
      </c>
      <c r="B1403" s="11"/>
      <c r="C1403" s="1252">
        <v>3</v>
      </c>
      <c r="D1403" s="1252">
        <v>801.79689830473103</v>
      </c>
      <c r="E1403" s="1253">
        <v>862.17347033515205</v>
      </c>
      <c r="F1403" s="1254">
        <v>0.106176967712755</v>
      </c>
      <c r="G1403" s="1255">
        <v>0.11424272559619</v>
      </c>
    </row>
    <row r="1404" spans="1:7" x14ac:dyDescent="0.3">
      <c r="A1404" s="6" t="s">
        <v>3105</v>
      </c>
      <c r="B1404" s="6"/>
      <c r="C1404" s="1248">
        <v>1</v>
      </c>
      <c r="D1404" s="1248">
        <v>789.50230087197497</v>
      </c>
      <c r="E1404" s="1249">
        <v>842.69305076895398</v>
      </c>
      <c r="F1404" s="1250">
        <v>0.10454887077521501</v>
      </c>
      <c r="G1404" s="1251">
        <v>0.111637212737956</v>
      </c>
    </row>
    <row r="1405" spans="1:7" x14ac:dyDescent="0.3">
      <c r="A1405" s="11" t="s">
        <v>3101</v>
      </c>
      <c r="B1405" s="11"/>
      <c r="C1405" s="1252">
        <v>1</v>
      </c>
      <c r="D1405" s="1252">
        <v>783.47071496476804</v>
      </c>
      <c r="E1405" s="1253">
        <v>803.695027550134</v>
      </c>
      <c r="F1405" s="1254">
        <v>0.103750145432825</v>
      </c>
      <c r="G1405" s="1255">
        <v>0.106493597425501</v>
      </c>
    </row>
    <row r="1406" spans="1:7" x14ac:dyDescent="0.3">
      <c r="A1406" s="6" t="s">
        <v>1114</v>
      </c>
      <c r="B1406" s="6"/>
      <c r="C1406" s="1248">
        <v>2</v>
      </c>
      <c r="D1406" s="1248">
        <v>532.42558558778205</v>
      </c>
      <c r="E1406" s="1249">
        <v>547.15556701569199</v>
      </c>
      <c r="F1406" s="1250">
        <v>7.0505803065495906E-2</v>
      </c>
      <c r="G1406" s="1251">
        <v>7.2490500650754797E-2</v>
      </c>
    </row>
    <row r="1407" spans="1:7" x14ac:dyDescent="0.3">
      <c r="A1407" s="11" t="s">
        <v>1116</v>
      </c>
      <c r="B1407" s="11"/>
      <c r="C1407" s="1252">
        <v>1</v>
      </c>
      <c r="D1407" s="1252">
        <v>403.23838258629303</v>
      </c>
      <c r="E1407" s="1253">
        <v>447.42669765250002</v>
      </c>
      <c r="F1407" s="1254">
        <v>5.33983466622696E-2</v>
      </c>
      <c r="G1407" s="1255">
        <v>5.9294064667674097E-2</v>
      </c>
    </row>
    <row r="1408" spans="1:7" x14ac:dyDescent="0.3">
      <c r="A1408" s="6" t="s">
        <v>1019</v>
      </c>
      <c r="B1408" s="6"/>
      <c r="C1408" s="1248">
        <v>93</v>
      </c>
      <c r="D1408" s="1248">
        <v>58538.954788752002</v>
      </c>
      <c r="E1408" s="1249">
        <v>0.34436598578877903</v>
      </c>
      <c r="F1408" s="1250">
        <v>93.795048118618297</v>
      </c>
      <c r="G1408" s="1251">
        <v>3.0554158453409999</v>
      </c>
    </row>
    <row r="1409" spans="1:7" x14ac:dyDescent="0.3">
      <c r="A1409" s="11" t="s">
        <v>1015</v>
      </c>
      <c r="B1409" s="11" t="s">
        <v>1092</v>
      </c>
      <c r="C1409" s="1252">
        <v>5</v>
      </c>
      <c r="D1409" s="1252">
        <v>2396.85689163903</v>
      </c>
      <c r="E1409" s="1253">
        <v>1528.3410804744799</v>
      </c>
      <c r="F1409" s="1254">
        <v>3.8404052189862701</v>
      </c>
      <c r="G1409" s="1255">
        <v>2.37588308397916</v>
      </c>
    </row>
    <row r="1410" spans="1:7" x14ac:dyDescent="0.3">
      <c r="A1410" s="6" t="s">
        <v>1017</v>
      </c>
      <c r="B1410" s="6" t="s">
        <v>1086</v>
      </c>
      <c r="C1410" s="1248">
        <v>2</v>
      </c>
      <c r="D1410" s="1248">
        <v>1475.7505107391901</v>
      </c>
      <c r="E1410" s="1249">
        <v>1464.74973517589</v>
      </c>
      <c r="F1410" s="1250">
        <v>2.3645466623953899</v>
      </c>
      <c r="G1410" s="1251">
        <v>2.3071244879992099</v>
      </c>
    </row>
    <row r="1411" spans="1:7" x14ac:dyDescent="0.3">
      <c r="A1411" s="11" t="s">
        <v>6354</v>
      </c>
      <c r="B1411" s="11" t="s">
        <v>6355</v>
      </c>
      <c r="C1411" s="1252">
        <v>2172</v>
      </c>
      <c r="D1411" s="1252">
        <v>755151.43780886906</v>
      </c>
      <c r="E1411" s="1253">
        <v>2046.0761763241401</v>
      </c>
      <c r="F1411" s="1254">
        <v>92.366146438729501</v>
      </c>
      <c r="G1411" s="1255">
        <v>0.25026526106552499</v>
      </c>
    </row>
    <row r="1412" spans="1:7" x14ac:dyDescent="0.3">
      <c r="A1412" s="6" t="s">
        <v>6354</v>
      </c>
      <c r="B1412" s="6" t="s">
        <v>6356</v>
      </c>
      <c r="C1412" s="1248">
        <v>2272</v>
      </c>
      <c r="D1412" s="1248">
        <v>817563</v>
      </c>
      <c r="E1412" s="1249">
        <v>0</v>
      </c>
      <c r="F1412" s="1250">
        <v>100</v>
      </c>
      <c r="G1412" s="1251">
        <v>0</v>
      </c>
    </row>
    <row r="1413" spans="1:7" x14ac:dyDescent="0.3">
      <c r="A1413" s="3449" t="s">
        <v>423</v>
      </c>
      <c r="B1413" s="3450"/>
      <c r="C1413" s="3450"/>
      <c r="D1413" s="3450"/>
      <c r="E1413" s="3450"/>
      <c r="F1413" s="3450"/>
      <c r="G1413" s="3450"/>
    </row>
    <row r="1414" spans="1:7" x14ac:dyDescent="0.3">
      <c r="A1414" s="11" t="s">
        <v>1219</v>
      </c>
      <c r="B1414" s="11"/>
      <c r="C1414" s="1260">
        <v>14</v>
      </c>
      <c r="D1414" s="1260">
        <v>6251.8064248432001</v>
      </c>
      <c r="E1414" s="1261">
        <v>3672.16511887876</v>
      </c>
      <c r="F1414" s="1262">
        <v>56.5596210801734</v>
      </c>
      <c r="G1414" s="1263">
        <v>18.477653434810399</v>
      </c>
    </row>
    <row r="1415" spans="1:7" x14ac:dyDescent="0.3">
      <c r="A1415" s="6" t="s">
        <v>6359</v>
      </c>
      <c r="B1415" s="6"/>
      <c r="C1415" s="1256">
        <v>5</v>
      </c>
      <c r="D1415" s="1256">
        <v>2068.4508067248398</v>
      </c>
      <c r="E1415" s="1257">
        <v>1098.84346920396</v>
      </c>
      <c r="F1415" s="1258">
        <v>18.713118401497798</v>
      </c>
      <c r="G1415" s="1259">
        <v>8.8603773120192404</v>
      </c>
    </row>
    <row r="1416" spans="1:7" x14ac:dyDescent="0.3">
      <c r="A1416" s="11" t="s">
        <v>1063</v>
      </c>
      <c r="B1416" s="11"/>
      <c r="C1416" s="1260">
        <v>3</v>
      </c>
      <c r="D1416" s="1260">
        <v>941.43681589731102</v>
      </c>
      <c r="E1416" s="1261">
        <v>556.666431562551</v>
      </c>
      <c r="F1416" s="1262">
        <v>8.5171078500582809</v>
      </c>
      <c r="G1416" s="1263">
        <v>8.4392115578850007</v>
      </c>
    </row>
    <row r="1417" spans="1:7" x14ac:dyDescent="0.3">
      <c r="A1417" s="6" t="s">
        <v>6357</v>
      </c>
      <c r="B1417" s="6"/>
      <c r="C1417" s="1256">
        <v>4</v>
      </c>
      <c r="D1417" s="1256">
        <v>710.28851096542405</v>
      </c>
      <c r="E1417" s="1257">
        <v>434.738291809055</v>
      </c>
      <c r="F1417" s="1258">
        <v>6.4259265735043103</v>
      </c>
      <c r="G1417" s="1259">
        <v>5.9977377663342999</v>
      </c>
    </row>
    <row r="1418" spans="1:7" x14ac:dyDescent="0.3">
      <c r="A1418" s="11" t="s">
        <v>6361</v>
      </c>
      <c r="B1418" s="11"/>
      <c r="C1418" s="1260">
        <v>4</v>
      </c>
      <c r="D1418" s="1260">
        <v>421.39600582596597</v>
      </c>
      <c r="E1418" s="1261">
        <v>424.39508589516998</v>
      </c>
      <c r="F1418" s="1262">
        <v>3.8123378739790299</v>
      </c>
      <c r="G1418" s="1263">
        <v>4.2026508973211101</v>
      </c>
    </row>
    <row r="1419" spans="1:7" x14ac:dyDescent="0.3">
      <c r="A1419" s="6" t="s">
        <v>3105</v>
      </c>
      <c r="B1419" s="6"/>
      <c r="C1419" s="1256">
        <v>1</v>
      </c>
      <c r="D1419" s="1256">
        <v>209.655619499088</v>
      </c>
      <c r="E1419" s="1257">
        <v>212.71922603128701</v>
      </c>
      <c r="F1419" s="1258">
        <v>1.89673857288293</v>
      </c>
      <c r="G1419" s="1259">
        <v>2.1529306795914702</v>
      </c>
    </row>
    <row r="1420" spans="1:7" x14ac:dyDescent="0.3">
      <c r="A1420" s="11" t="s">
        <v>1067</v>
      </c>
      <c r="B1420" s="11"/>
      <c r="C1420" s="1260">
        <v>1</v>
      </c>
      <c r="D1420" s="1260">
        <v>206.30806998281301</v>
      </c>
      <c r="E1420" s="1261">
        <v>214.06093646975501</v>
      </c>
      <c r="F1420" s="1262">
        <v>1.8664535449532</v>
      </c>
      <c r="G1420" s="1263">
        <v>2.3102353375050702</v>
      </c>
    </row>
    <row r="1421" spans="1:7" x14ac:dyDescent="0.3">
      <c r="A1421" s="6" t="s">
        <v>1069</v>
      </c>
      <c r="B1421" s="6"/>
      <c r="C1421" s="1256">
        <v>1</v>
      </c>
      <c r="D1421" s="1256">
        <v>189.52051738329399</v>
      </c>
      <c r="E1421" s="1257">
        <v>198.98421304068401</v>
      </c>
      <c r="F1421" s="1258">
        <v>1.71457782306277</v>
      </c>
      <c r="G1421" s="1259">
        <v>1.8443202570978601</v>
      </c>
    </row>
    <row r="1422" spans="1:7" x14ac:dyDescent="0.3">
      <c r="A1422" s="11" t="s">
        <v>6360</v>
      </c>
      <c r="B1422" s="11"/>
      <c r="C1422" s="1260">
        <v>2</v>
      </c>
      <c r="D1422" s="1260">
        <v>54.617265424374402</v>
      </c>
      <c r="E1422" s="1261">
        <v>58.945102327258098</v>
      </c>
      <c r="F1422" s="1262">
        <v>0.49411827988825602</v>
      </c>
      <c r="G1422" s="1263">
        <v>0.60077159180616702</v>
      </c>
    </row>
    <row r="1423" spans="1:7" x14ac:dyDescent="0.3">
      <c r="A1423" s="6" t="s">
        <v>1019</v>
      </c>
      <c r="B1423" s="6" t="s">
        <v>1020</v>
      </c>
      <c r="C1423" s="1256">
        <v>2223</v>
      </c>
      <c r="D1423" s="1256">
        <v>804005.87010068796</v>
      </c>
      <c r="E1423" s="1257">
        <v>3415.03197450162</v>
      </c>
      <c r="F1423" s="1258">
        <v>99.689569707388301</v>
      </c>
      <c r="G1423" s="1259">
        <v>0.13390885522139501</v>
      </c>
    </row>
    <row r="1424" spans="1:7" x14ac:dyDescent="0.3">
      <c r="A1424" s="11" t="s">
        <v>1044</v>
      </c>
      <c r="B1424" s="11" t="s">
        <v>1045</v>
      </c>
      <c r="C1424" s="1260">
        <v>14</v>
      </c>
      <c r="D1424" s="1260">
        <v>2503.6498627641099</v>
      </c>
      <c r="E1424" s="1261">
        <v>1083.71469136459</v>
      </c>
      <c r="F1424" s="1262">
        <v>0.31043029261174299</v>
      </c>
      <c r="G1424" s="1263">
        <v>0.133908855221399</v>
      </c>
    </row>
    <row r="1425" spans="1:7" x14ac:dyDescent="0.3">
      <c r="A1425" s="6" t="s">
        <v>6354</v>
      </c>
      <c r="B1425" s="6" t="s">
        <v>6355</v>
      </c>
      <c r="C1425" s="1256">
        <v>35</v>
      </c>
      <c r="D1425" s="1256">
        <v>11053.4800365463</v>
      </c>
      <c r="E1425" s="1257">
        <v>3676.8136809740499</v>
      </c>
      <c r="F1425" s="1258">
        <v>1.3520034586382099</v>
      </c>
      <c r="G1425" s="1259">
        <v>0.44972848342868599</v>
      </c>
    </row>
    <row r="1426" spans="1:7" x14ac:dyDescent="0.3">
      <c r="A1426" s="11" t="s">
        <v>6354</v>
      </c>
      <c r="B1426" s="11" t="s">
        <v>6356</v>
      </c>
      <c r="C1426" s="1260">
        <v>2272</v>
      </c>
      <c r="D1426" s="1260">
        <v>817562.99999999895</v>
      </c>
      <c r="E1426" s="1261">
        <v>0</v>
      </c>
      <c r="F1426" s="1262">
        <v>100</v>
      </c>
      <c r="G1426" s="1263">
        <v>0</v>
      </c>
    </row>
    <row r="1427" spans="1:7" x14ac:dyDescent="0.3">
      <c r="A1427" s="3449" t="s">
        <v>95</v>
      </c>
      <c r="B1427" s="3450"/>
      <c r="C1427" s="3450"/>
      <c r="D1427" s="3450"/>
      <c r="E1427" s="3450"/>
      <c r="F1427" s="3450"/>
      <c r="G1427" s="3450"/>
    </row>
    <row r="1428" spans="1:7" x14ac:dyDescent="0.3">
      <c r="A1428" s="11" t="s">
        <v>1219</v>
      </c>
      <c r="B1428" s="11"/>
      <c r="C1428" s="1268">
        <v>1927</v>
      </c>
      <c r="D1428" s="1268">
        <v>623348.10083579295</v>
      </c>
      <c r="E1428" s="1269">
        <v>5839.9181648132299</v>
      </c>
      <c r="F1428" s="1270">
        <v>98.853907505464605</v>
      </c>
      <c r="G1428" s="1271">
        <v>0.54821592787620699</v>
      </c>
    </row>
    <row r="1429" spans="1:7" x14ac:dyDescent="0.3">
      <c r="A1429" s="6" t="s">
        <v>6357</v>
      </c>
      <c r="B1429" s="6"/>
      <c r="C1429" s="1264">
        <v>11</v>
      </c>
      <c r="D1429" s="1264">
        <v>6471.8826069771303</v>
      </c>
      <c r="E1429" s="1265">
        <v>3543.9788396240201</v>
      </c>
      <c r="F1429" s="1266">
        <v>1.0263460877774899</v>
      </c>
      <c r="G1429" s="1267">
        <v>0.56447030487501304</v>
      </c>
    </row>
    <row r="1430" spans="1:7" x14ac:dyDescent="0.3">
      <c r="A1430" s="11" t="s">
        <v>6359</v>
      </c>
      <c r="B1430" s="11"/>
      <c r="C1430" s="1268">
        <v>1</v>
      </c>
      <c r="D1430" s="1268">
        <v>755.09099354849502</v>
      </c>
      <c r="E1430" s="1269">
        <v>750.35837224174202</v>
      </c>
      <c r="F1430" s="1270">
        <v>0.119746406757908</v>
      </c>
      <c r="G1430" s="1271">
        <v>0.118921209060764</v>
      </c>
    </row>
    <row r="1431" spans="1:7" x14ac:dyDescent="0.3">
      <c r="A1431" s="6" t="s">
        <v>1019</v>
      </c>
      <c r="B1431" s="6" t="s">
        <v>1020</v>
      </c>
      <c r="C1431" s="1264">
        <v>332</v>
      </c>
      <c r="D1431" s="1264">
        <v>184246.61443761599</v>
      </c>
      <c r="E1431" s="1265">
        <v>3576.9196156644798</v>
      </c>
      <c r="F1431" s="1266">
        <v>98.533963560587793</v>
      </c>
      <c r="G1431" s="1267">
        <v>1.1085686320743799</v>
      </c>
    </row>
    <row r="1432" spans="1:7" x14ac:dyDescent="0.3">
      <c r="A1432" s="11" t="s">
        <v>1015</v>
      </c>
      <c r="B1432" s="11" t="s">
        <v>1092</v>
      </c>
      <c r="C1432" s="1268">
        <v>1</v>
      </c>
      <c r="D1432" s="1268">
        <v>1398.8970102531</v>
      </c>
      <c r="E1432" s="1269">
        <v>1647.4240565716</v>
      </c>
      <c r="F1432" s="1270">
        <v>0.74812157311017802</v>
      </c>
      <c r="G1432" s="1271">
        <v>0.88366770728392396</v>
      </c>
    </row>
    <row r="1433" spans="1:7" x14ac:dyDescent="0.3">
      <c r="A1433" s="6" t="s">
        <v>1017</v>
      </c>
      <c r="B1433" s="6" t="s">
        <v>1086</v>
      </c>
      <c r="C1433" s="1264">
        <v>1</v>
      </c>
      <c r="D1433" s="1264">
        <v>1342.4141158115301</v>
      </c>
      <c r="E1433" s="1265">
        <v>1489.1813491338</v>
      </c>
      <c r="F1433" s="1266">
        <v>0.71791486630207801</v>
      </c>
      <c r="G1433" s="1267">
        <v>0.79037028749689198</v>
      </c>
    </row>
    <row r="1434" spans="1:7" x14ac:dyDescent="0.3">
      <c r="A1434" s="11" t="s">
        <v>6354</v>
      </c>
      <c r="B1434" s="11" t="s">
        <v>6355</v>
      </c>
      <c r="C1434" s="1268">
        <v>1939</v>
      </c>
      <c r="D1434" s="1268">
        <v>630575.07443631894</v>
      </c>
      <c r="E1434" s="1269">
        <v>3963.77475258002</v>
      </c>
      <c r="F1434" s="1270">
        <v>77.128621823188993</v>
      </c>
      <c r="G1434" s="1271">
        <v>0.48482805026404702</v>
      </c>
    </row>
    <row r="1435" spans="1:7" x14ac:dyDescent="0.3">
      <c r="A1435" s="6" t="s">
        <v>6354</v>
      </c>
      <c r="B1435" s="6" t="s">
        <v>6356</v>
      </c>
      <c r="C1435" s="1264">
        <v>2273</v>
      </c>
      <c r="D1435" s="1264">
        <v>817563</v>
      </c>
      <c r="E1435" s="1265">
        <v>0</v>
      </c>
      <c r="F1435" s="1266">
        <v>100</v>
      </c>
      <c r="G1435" s="1267">
        <v>0</v>
      </c>
    </row>
    <row r="1436" spans="1:7" x14ac:dyDescent="0.3">
      <c r="A1436" s="3449" t="s">
        <v>607</v>
      </c>
      <c r="B1436" s="3450"/>
      <c r="C1436" s="3450"/>
      <c r="D1436" s="3450"/>
      <c r="E1436" s="3450"/>
      <c r="F1436" s="3450"/>
      <c r="G1436" s="3450"/>
    </row>
    <row r="1437" spans="1:7" x14ac:dyDescent="0.3">
      <c r="A1437" s="11" t="s">
        <v>1219</v>
      </c>
      <c r="B1437" s="11"/>
      <c r="C1437" s="1276">
        <v>1847</v>
      </c>
      <c r="D1437" s="1276">
        <v>592114.52647453104</v>
      </c>
      <c r="E1437" s="1277">
        <v>6957.5674221605404</v>
      </c>
      <c r="F1437" s="1278">
        <v>93.900718642238104</v>
      </c>
      <c r="G1437" s="1279">
        <v>0.82928744119463704</v>
      </c>
    </row>
    <row r="1438" spans="1:7" x14ac:dyDescent="0.3">
      <c r="A1438" s="6" t="s">
        <v>6357</v>
      </c>
      <c r="B1438" s="6"/>
      <c r="C1438" s="1272">
        <v>26</v>
      </c>
      <c r="D1438" s="1272">
        <v>11151.4784781655</v>
      </c>
      <c r="E1438" s="1273">
        <v>3044.5647934813701</v>
      </c>
      <c r="F1438" s="1274">
        <v>1.76846166780918</v>
      </c>
      <c r="G1438" s="1275">
        <v>0.48378953429409999</v>
      </c>
    </row>
    <row r="1439" spans="1:7" x14ac:dyDescent="0.3">
      <c r="A1439" s="11" t="s">
        <v>6359</v>
      </c>
      <c r="B1439" s="11"/>
      <c r="C1439" s="1276">
        <v>28</v>
      </c>
      <c r="D1439" s="1276">
        <v>9547.1471271953797</v>
      </c>
      <c r="E1439" s="1277">
        <v>1919.0230893125599</v>
      </c>
      <c r="F1439" s="1278">
        <v>1.5140381398249401</v>
      </c>
      <c r="G1439" s="1279">
        <v>0.30146320582159403</v>
      </c>
    </row>
    <row r="1440" spans="1:7" x14ac:dyDescent="0.3">
      <c r="A1440" s="6" t="s">
        <v>6361</v>
      </c>
      <c r="B1440" s="6"/>
      <c r="C1440" s="1272">
        <v>13</v>
      </c>
      <c r="D1440" s="1272">
        <v>6655.7792561563901</v>
      </c>
      <c r="E1440" s="1273">
        <v>3927.9464375943699</v>
      </c>
      <c r="F1440" s="1274">
        <v>1.05550941132681</v>
      </c>
      <c r="G1440" s="1275">
        <v>0.62144241169680803</v>
      </c>
    </row>
    <row r="1441" spans="1:7" x14ac:dyDescent="0.3">
      <c r="A1441" s="11" t="s">
        <v>6360</v>
      </c>
      <c r="B1441" s="11"/>
      <c r="C1441" s="1276">
        <v>11</v>
      </c>
      <c r="D1441" s="1276">
        <v>4239.4942638538896</v>
      </c>
      <c r="E1441" s="1277">
        <v>2302.0102077182</v>
      </c>
      <c r="F1441" s="1278">
        <v>0.67232189087772598</v>
      </c>
      <c r="G1441" s="1279">
        <v>0.367380399577447</v>
      </c>
    </row>
    <row r="1442" spans="1:7" x14ac:dyDescent="0.3">
      <c r="A1442" s="6" t="s">
        <v>6365</v>
      </c>
      <c r="B1442" s="6"/>
      <c r="C1442" s="1272">
        <v>4</v>
      </c>
      <c r="D1442" s="1272">
        <v>2195.3713662978998</v>
      </c>
      <c r="E1442" s="1273">
        <v>1705.73825515614</v>
      </c>
      <c r="F1442" s="1274">
        <v>0.348153844847162</v>
      </c>
      <c r="G1442" s="1275">
        <v>0.271693353013647</v>
      </c>
    </row>
    <row r="1443" spans="1:7" x14ac:dyDescent="0.3">
      <c r="A1443" s="11" t="s">
        <v>6358</v>
      </c>
      <c r="B1443" s="11"/>
      <c r="C1443" s="1276">
        <v>5</v>
      </c>
      <c r="D1443" s="1276">
        <v>1687.67786785676</v>
      </c>
      <c r="E1443" s="1277">
        <v>1191.6131056158999</v>
      </c>
      <c r="F1443" s="1278">
        <v>0.26764106864918602</v>
      </c>
      <c r="G1443" s="1279">
        <v>0.18927787972996701</v>
      </c>
    </row>
    <row r="1444" spans="1:7" x14ac:dyDescent="0.3">
      <c r="A1444" s="6" t="s">
        <v>1063</v>
      </c>
      <c r="B1444" s="6"/>
      <c r="C1444" s="1272">
        <v>1</v>
      </c>
      <c r="D1444" s="1272">
        <v>1523.9568607456899</v>
      </c>
      <c r="E1444" s="1273">
        <v>1535.2796324148801</v>
      </c>
      <c r="F1444" s="1274">
        <v>0.24167730735439799</v>
      </c>
      <c r="G1444" s="1275">
        <v>0.24372207593804299</v>
      </c>
    </row>
    <row r="1445" spans="1:7" x14ac:dyDescent="0.3">
      <c r="A1445" s="11" t="s">
        <v>6362</v>
      </c>
      <c r="B1445" s="11"/>
      <c r="C1445" s="1276">
        <v>2</v>
      </c>
      <c r="D1445" s="1276">
        <v>1027.8796218806999</v>
      </c>
      <c r="E1445" s="1277">
        <v>917.54703588519396</v>
      </c>
      <c r="F1445" s="1278">
        <v>0.16300670032026501</v>
      </c>
      <c r="G1445" s="1279">
        <v>0.14522652845082301</v>
      </c>
    </row>
    <row r="1446" spans="1:7" x14ac:dyDescent="0.3">
      <c r="A1446" s="6" t="s">
        <v>1065</v>
      </c>
      <c r="B1446" s="6"/>
      <c r="C1446" s="1272">
        <v>1</v>
      </c>
      <c r="D1446" s="1272">
        <v>431.76311963549898</v>
      </c>
      <c r="E1446" s="1273">
        <v>459.836515199708</v>
      </c>
      <c r="F1446" s="1274">
        <v>6.8471326752244197E-2</v>
      </c>
      <c r="G1446" s="1275">
        <v>7.3007423701991203E-2</v>
      </c>
    </row>
    <row r="1447" spans="1:7" x14ac:dyDescent="0.3">
      <c r="A1447" s="11" t="s">
        <v>1019</v>
      </c>
      <c r="B1447" s="11" t="s">
        <v>1020</v>
      </c>
      <c r="C1447" s="1276">
        <v>332</v>
      </c>
      <c r="D1447" s="1276">
        <v>184246.61443761599</v>
      </c>
      <c r="E1447" s="1277">
        <v>3576.9196156644798</v>
      </c>
      <c r="F1447" s="1278">
        <v>98.533963560587793</v>
      </c>
      <c r="G1447" s="1279">
        <v>1.1085686320743799</v>
      </c>
    </row>
    <row r="1448" spans="1:7" x14ac:dyDescent="0.3">
      <c r="A1448" s="6" t="s">
        <v>1015</v>
      </c>
      <c r="B1448" s="6" t="s">
        <v>1092</v>
      </c>
      <c r="C1448" s="1272">
        <v>1</v>
      </c>
      <c r="D1448" s="1272">
        <v>1398.8970102531</v>
      </c>
      <c r="E1448" s="1273">
        <v>1647.4240565716</v>
      </c>
      <c r="F1448" s="1274">
        <v>0.74812157311017802</v>
      </c>
      <c r="G1448" s="1275">
        <v>0.88366770728392396</v>
      </c>
    </row>
    <row r="1449" spans="1:7" x14ac:dyDescent="0.3">
      <c r="A1449" s="11" t="s">
        <v>1017</v>
      </c>
      <c r="B1449" s="11" t="s">
        <v>1086</v>
      </c>
      <c r="C1449" s="1276">
        <v>1</v>
      </c>
      <c r="D1449" s="1276">
        <v>1342.4141158115301</v>
      </c>
      <c r="E1449" s="1277">
        <v>1489.1813491338</v>
      </c>
      <c r="F1449" s="1278">
        <v>0.71791486630207801</v>
      </c>
      <c r="G1449" s="1279">
        <v>0.79037028749689198</v>
      </c>
    </row>
    <row r="1450" spans="1:7" x14ac:dyDescent="0.3">
      <c r="A1450" s="6" t="s">
        <v>6354</v>
      </c>
      <c r="B1450" s="6" t="s">
        <v>6355</v>
      </c>
      <c r="C1450" s="1272">
        <v>1938</v>
      </c>
      <c r="D1450" s="1272">
        <v>630575.07443631894</v>
      </c>
      <c r="E1450" s="1273">
        <v>3963.7747525794898</v>
      </c>
      <c r="F1450" s="1274">
        <v>77.128621823188993</v>
      </c>
      <c r="G1450" s="1275">
        <v>0.48482805026403297</v>
      </c>
    </row>
    <row r="1451" spans="1:7" x14ac:dyDescent="0.3">
      <c r="A1451" s="11" t="s">
        <v>6354</v>
      </c>
      <c r="B1451" s="11" t="s">
        <v>6356</v>
      </c>
      <c r="C1451" s="1276">
        <v>2272</v>
      </c>
      <c r="D1451" s="1276">
        <v>817563</v>
      </c>
      <c r="E1451" s="1277">
        <v>0</v>
      </c>
      <c r="F1451" s="1278">
        <v>100</v>
      </c>
      <c r="G1451" s="1279">
        <v>0</v>
      </c>
    </row>
    <row r="1452" spans="1:7" x14ac:dyDescent="0.3">
      <c r="A1452" s="3449" t="s">
        <v>92</v>
      </c>
      <c r="B1452" s="3450"/>
      <c r="C1452" s="3450"/>
      <c r="D1452" s="3450"/>
      <c r="E1452" s="3450"/>
      <c r="F1452" s="3450"/>
      <c r="G1452" s="3450"/>
    </row>
    <row r="1453" spans="1:7" x14ac:dyDescent="0.3">
      <c r="A1453" s="11" t="s">
        <v>6357</v>
      </c>
      <c r="B1453" s="11"/>
      <c r="C1453" s="1284">
        <v>804</v>
      </c>
      <c r="D1453" s="1284">
        <v>302823.831294515</v>
      </c>
      <c r="E1453" s="1285">
        <v>12826.0871599316</v>
      </c>
      <c r="F1453" s="1286">
        <v>86.579769078778199</v>
      </c>
      <c r="G1453" s="1287">
        <v>2.3008761641371902</v>
      </c>
    </row>
    <row r="1454" spans="1:7" x14ac:dyDescent="0.3">
      <c r="A1454" s="6" t="s">
        <v>6359</v>
      </c>
      <c r="B1454" s="6"/>
      <c r="C1454" s="1280">
        <v>68</v>
      </c>
      <c r="D1454" s="1280">
        <v>36859.979068489498</v>
      </c>
      <c r="E1454" s="1281">
        <v>7251.2689930574097</v>
      </c>
      <c r="F1454" s="1282">
        <v>10.5385644926164</v>
      </c>
      <c r="G1454" s="1283">
        <v>2.18847541440031</v>
      </c>
    </row>
    <row r="1455" spans="1:7" x14ac:dyDescent="0.3">
      <c r="A1455" s="11" t="s">
        <v>6358</v>
      </c>
      <c r="B1455" s="11"/>
      <c r="C1455" s="1284">
        <v>18</v>
      </c>
      <c r="D1455" s="1284">
        <v>6500.4078373592502</v>
      </c>
      <c r="E1455" s="1285">
        <v>2938.4631634217099</v>
      </c>
      <c r="F1455" s="1286">
        <v>1.85851888561929</v>
      </c>
      <c r="G1455" s="1287">
        <v>0.82060542371067002</v>
      </c>
    </row>
    <row r="1456" spans="1:7" x14ac:dyDescent="0.3">
      <c r="A1456" s="6" t="s">
        <v>6360</v>
      </c>
      <c r="B1456" s="6"/>
      <c r="C1456" s="1280">
        <v>5</v>
      </c>
      <c r="D1456" s="1280">
        <v>3246.39236229269</v>
      </c>
      <c r="E1456" s="1281">
        <v>1726.9501989600101</v>
      </c>
      <c r="F1456" s="1282">
        <v>0.92816968818101597</v>
      </c>
      <c r="G1456" s="1283">
        <v>0.48647570542365898</v>
      </c>
    </row>
    <row r="1457" spans="1:7" x14ac:dyDescent="0.3">
      <c r="A1457" s="11" t="s">
        <v>1063</v>
      </c>
      <c r="B1457" s="11"/>
      <c r="C1457" s="1284">
        <v>1</v>
      </c>
      <c r="D1457" s="1284">
        <v>267.74643401588401</v>
      </c>
      <c r="E1457" s="1285">
        <v>278.10750171447899</v>
      </c>
      <c r="F1457" s="1286">
        <v>7.6550859057774104E-2</v>
      </c>
      <c r="G1457" s="1287">
        <v>7.9628971765590098E-2</v>
      </c>
    </row>
    <row r="1458" spans="1:7" x14ac:dyDescent="0.3">
      <c r="A1458" s="6" t="s">
        <v>6361</v>
      </c>
      <c r="B1458" s="6"/>
      <c r="C1458" s="1280">
        <v>1</v>
      </c>
      <c r="D1458" s="1280">
        <v>64.450777714339694</v>
      </c>
      <c r="E1458" s="1281">
        <v>65.909558260633403</v>
      </c>
      <c r="F1458" s="1282">
        <v>1.8426995747333301E-2</v>
      </c>
      <c r="G1458" s="1283">
        <v>1.88185080716726E-2</v>
      </c>
    </row>
    <row r="1459" spans="1:7" x14ac:dyDescent="0.3">
      <c r="A1459" s="11" t="s">
        <v>1044</v>
      </c>
      <c r="B1459" s="11" t="s">
        <v>1045</v>
      </c>
      <c r="C1459" s="1284">
        <v>1283</v>
      </c>
      <c r="D1459" s="1284">
        <v>409261.23743686202</v>
      </c>
      <c r="E1459" s="1285">
        <v>9440.1679672917599</v>
      </c>
      <c r="F1459" s="1286">
        <v>87.486333746412996</v>
      </c>
      <c r="G1459" s="1287">
        <v>0.252835444549939</v>
      </c>
    </row>
    <row r="1460" spans="1:7" x14ac:dyDescent="0.3">
      <c r="A1460" s="6" t="s">
        <v>1019</v>
      </c>
      <c r="B1460" s="6"/>
      <c r="C1460" s="1280">
        <v>93</v>
      </c>
      <c r="D1460" s="1280">
        <v>58538.954788752002</v>
      </c>
      <c r="E1460" s="1281">
        <v>0.34436598578877903</v>
      </c>
      <c r="F1460" s="1282">
        <v>12.513666253586999</v>
      </c>
      <c r="G1460" s="1283">
        <v>0.25283544454993701</v>
      </c>
    </row>
    <row r="1461" spans="1:7" x14ac:dyDescent="0.3">
      <c r="A1461" s="11" t="s">
        <v>6354</v>
      </c>
      <c r="B1461" s="11" t="s">
        <v>6355</v>
      </c>
      <c r="C1461" s="1284">
        <v>897</v>
      </c>
      <c r="D1461" s="1284">
        <v>349762.80777438701</v>
      </c>
      <c r="E1461" s="1285">
        <v>9440.1661548815791</v>
      </c>
      <c r="F1461" s="1286">
        <v>42.781144422434302</v>
      </c>
      <c r="G1461" s="1287">
        <v>1.15467140206714</v>
      </c>
    </row>
    <row r="1462" spans="1:7" x14ac:dyDescent="0.3">
      <c r="A1462" s="6" t="s">
        <v>6354</v>
      </c>
      <c r="B1462" s="6" t="s">
        <v>6356</v>
      </c>
      <c r="C1462" s="1280">
        <v>2273</v>
      </c>
      <c r="D1462" s="1280">
        <v>817563.00000000105</v>
      </c>
      <c r="E1462" s="1281">
        <v>0</v>
      </c>
      <c r="F1462" s="1282">
        <v>100</v>
      </c>
      <c r="G1462" s="1283">
        <v>0</v>
      </c>
    </row>
    <row r="1463" spans="1:7" x14ac:dyDescent="0.3">
      <c r="A1463" s="3449" t="s">
        <v>691</v>
      </c>
      <c r="B1463" s="3450"/>
      <c r="C1463" s="3450"/>
      <c r="D1463" s="3450"/>
      <c r="E1463" s="3450"/>
      <c r="F1463" s="3450"/>
      <c r="G1463" s="3450"/>
    </row>
    <row r="1464" spans="1:7" x14ac:dyDescent="0.3">
      <c r="A1464" s="11" t="s">
        <v>1073</v>
      </c>
      <c r="B1464" s="11"/>
      <c r="C1464" s="1292">
        <v>159</v>
      </c>
      <c r="D1464" s="1292">
        <v>79236.176644918305</v>
      </c>
      <c r="E1464" s="1293">
        <v>5853.9282785743198</v>
      </c>
      <c r="F1464" s="1294">
        <v>21.692490893119299</v>
      </c>
      <c r="G1464" s="1295">
        <v>1.60487358391706</v>
      </c>
    </row>
    <row r="1465" spans="1:7" x14ac:dyDescent="0.3">
      <c r="A1465" s="6" t="s">
        <v>1222</v>
      </c>
      <c r="B1465" s="6"/>
      <c r="C1465" s="1288">
        <v>174</v>
      </c>
      <c r="D1465" s="1288">
        <v>76365.819045024604</v>
      </c>
      <c r="E1465" s="1289">
        <v>7921.4364841260804</v>
      </c>
      <c r="F1465" s="1290">
        <v>20.9066729910931</v>
      </c>
      <c r="G1465" s="1291">
        <v>2.1345627249544599</v>
      </c>
    </row>
    <row r="1466" spans="1:7" x14ac:dyDescent="0.3">
      <c r="A1466" s="11" t="s">
        <v>1224</v>
      </c>
      <c r="B1466" s="11"/>
      <c r="C1466" s="1292">
        <v>111</v>
      </c>
      <c r="D1466" s="1292">
        <v>39334.310396023502</v>
      </c>
      <c r="E1466" s="1293">
        <v>9114.2884304660001</v>
      </c>
      <c r="F1466" s="1294">
        <v>10.768555553564701</v>
      </c>
      <c r="G1466" s="1295">
        <v>2.49747051971362</v>
      </c>
    </row>
    <row r="1467" spans="1:7" x14ac:dyDescent="0.3">
      <c r="A1467" s="6" t="s">
        <v>1063</v>
      </c>
      <c r="B1467" s="6"/>
      <c r="C1467" s="1288">
        <v>81</v>
      </c>
      <c r="D1467" s="1288">
        <v>31299.2363783525</v>
      </c>
      <c r="E1467" s="1289">
        <v>5780.6691087324898</v>
      </c>
      <c r="F1467" s="1290">
        <v>8.5687930544859796</v>
      </c>
      <c r="G1467" s="1291">
        <v>1.4615612310105299</v>
      </c>
    </row>
    <row r="1468" spans="1:7" x14ac:dyDescent="0.3">
      <c r="A1468" s="11" t="s">
        <v>3099</v>
      </c>
      <c r="B1468" s="11"/>
      <c r="C1468" s="1292">
        <v>81</v>
      </c>
      <c r="D1468" s="1292">
        <v>30636.3582114036</v>
      </c>
      <c r="E1468" s="1293">
        <v>5588.4043408625103</v>
      </c>
      <c r="F1468" s="1294">
        <v>8.3873168751869205</v>
      </c>
      <c r="G1468" s="1295">
        <v>1.37799152079381</v>
      </c>
    </row>
    <row r="1469" spans="1:7" x14ac:dyDescent="0.3">
      <c r="A1469" s="6" t="s">
        <v>6361</v>
      </c>
      <c r="B1469" s="6"/>
      <c r="C1469" s="1288">
        <v>43</v>
      </c>
      <c r="D1469" s="1288">
        <v>17989.718440177599</v>
      </c>
      <c r="E1469" s="1289">
        <v>4671.90312734284</v>
      </c>
      <c r="F1469" s="1290">
        <v>4.9250458560377899</v>
      </c>
      <c r="G1469" s="1291">
        <v>1.30674221744284</v>
      </c>
    </row>
    <row r="1470" spans="1:7" x14ac:dyDescent="0.3">
      <c r="A1470" s="11" t="s">
        <v>1067</v>
      </c>
      <c r="B1470" s="11"/>
      <c r="C1470" s="1292">
        <v>26</v>
      </c>
      <c r="D1470" s="1292">
        <v>9283.0096699869591</v>
      </c>
      <c r="E1470" s="1293">
        <v>3010.6553950589</v>
      </c>
      <c r="F1470" s="1294">
        <v>2.5414098869174202</v>
      </c>
      <c r="G1470" s="1295">
        <v>0.80655569111698999</v>
      </c>
    </row>
    <row r="1471" spans="1:7" x14ac:dyDescent="0.3">
      <c r="A1471" s="6" t="s">
        <v>3114</v>
      </c>
      <c r="B1471" s="6"/>
      <c r="C1471" s="1288">
        <v>34</v>
      </c>
      <c r="D1471" s="1288">
        <v>8037.6324693808501</v>
      </c>
      <c r="E1471" s="1289">
        <v>1692.7089438456701</v>
      </c>
      <c r="F1471" s="1290">
        <v>2.2004629264941502</v>
      </c>
      <c r="G1471" s="1291">
        <v>0.43974417979374902</v>
      </c>
    </row>
    <row r="1472" spans="1:7" x14ac:dyDescent="0.3">
      <c r="A1472" s="11" t="s">
        <v>3128</v>
      </c>
      <c r="B1472" s="11"/>
      <c r="C1472" s="1292">
        <v>25</v>
      </c>
      <c r="D1472" s="1292">
        <v>7364.4166473638597</v>
      </c>
      <c r="E1472" s="1293">
        <v>4709.8323773258298</v>
      </c>
      <c r="F1472" s="1294">
        <v>2.0161566070000698</v>
      </c>
      <c r="G1472" s="1295">
        <v>1.28747016543145</v>
      </c>
    </row>
    <row r="1473" spans="1:7" x14ac:dyDescent="0.3">
      <c r="A1473" s="6" t="s">
        <v>6363</v>
      </c>
      <c r="B1473" s="6"/>
      <c r="C1473" s="1288">
        <v>19</v>
      </c>
      <c r="D1473" s="1288">
        <v>6780.7747864636103</v>
      </c>
      <c r="E1473" s="1289">
        <v>1104.2602979308799</v>
      </c>
      <c r="F1473" s="1290">
        <v>1.8563729540209799</v>
      </c>
      <c r="G1473" s="1291">
        <v>0.31636796794311001</v>
      </c>
    </row>
    <row r="1474" spans="1:7" x14ac:dyDescent="0.3">
      <c r="A1474" s="11" t="s">
        <v>6364</v>
      </c>
      <c r="B1474" s="11"/>
      <c r="C1474" s="1292">
        <v>16</v>
      </c>
      <c r="D1474" s="1292">
        <v>6772.0893833608998</v>
      </c>
      <c r="E1474" s="1293">
        <v>2458.5256011569199</v>
      </c>
      <c r="F1474" s="1294">
        <v>1.8539951509052</v>
      </c>
      <c r="G1474" s="1295">
        <v>0.69298044696535199</v>
      </c>
    </row>
    <row r="1475" spans="1:7" x14ac:dyDescent="0.3">
      <c r="A1475" s="6" t="s">
        <v>1077</v>
      </c>
      <c r="B1475" s="6"/>
      <c r="C1475" s="1288">
        <v>9</v>
      </c>
      <c r="D1475" s="1288">
        <v>6760.3998301479596</v>
      </c>
      <c r="E1475" s="1289">
        <v>2963.45683368239</v>
      </c>
      <c r="F1475" s="1290">
        <v>1.8507949015070899</v>
      </c>
      <c r="G1475" s="1291">
        <v>0.80600274343576395</v>
      </c>
    </row>
    <row r="1476" spans="1:7" x14ac:dyDescent="0.3">
      <c r="A1476" s="11" t="s">
        <v>1230</v>
      </c>
      <c r="B1476" s="11"/>
      <c r="C1476" s="1292">
        <v>11</v>
      </c>
      <c r="D1476" s="1292">
        <v>5637.9352422792799</v>
      </c>
      <c r="E1476" s="1293">
        <v>2268.8521589953498</v>
      </c>
      <c r="F1476" s="1294">
        <v>1.5434977314365801</v>
      </c>
      <c r="G1476" s="1295">
        <v>0.63161177913420496</v>
      </c>
    </row>
    <row r="1477" spans="1:7" x14ac:dyDescent="0.3">
      <c r="A1477" s="6" t="s">
        <v>1226</v>
      </c>
      <c r="B1477" s="6"/>
      <c r="C1477" s="1288">
        <v>17</v>
      </c>
      <c r="D1477" s="1288">
        <v>5203.4672424036598</v>
      </c>
      <c r="E1477" s="1289">
        <v>1846.8048962877599</v>
      </c>
      <c r="F1477" s="1290">
        <v>1.42455341168617</v>
      </c>
      <c r="G1477" s="1291">
        <v>0.51903363043501305</v>
      </c>
    </row>
    <row r="1478" spans="1:7" x14ac:dyDescent="0.3">
      <c r="A1478" s="11" t="s">
        <v>1075</v>
      </c>
      <c r="B1478" s="11"/>
      <c r="C1478" s="1292">
        <v>7</v>
      </c>
      <c r="D1478" s="1292">
        <v>5120.8358043424596</v>
      </c>
      <c r="E1478" s="1293">
        <v>2621.93615338155</v>
      </c>
      <c r="F1478" s="1294">
        <v>1.4019313999545699</v>
      </c>
      <c r="G1478" s="1295">
        <v>0.71908974746193599</v>
      </c>
    </row>
    <row r="1479" spans="1:7" x14ac:dyDescent="0.3">
      <c r="A1479" s="6" t="s">
        <v>6358</v>
      </c>
      <c r="B1479" s="6"/>
      <c r="C1479" s="1288">
        <v>11</v>
      </c>
      <c r="D1479" s="1288">
        <v>4149.9864812974001</v>
      </c>
      <c r="E1479" s="1289">
        <v>1520.3514585553301</v>
      </c>
      <c r="F1479" s="1290">
        <v>1.13614194631747</v>
      </c>
      <c r="G1479" s="1291">
        <v>0.40623891728174399</v>
      </c>
    </row>
    <row r="1480" spans="1:7" x14ac:dyDescent="0.3">
      <c r="A1480" s="11" t="s">
        <v>1079</v>
      </c>
      <c r="B1480" s="11"/>
      <c r="C1480" s="1292">
        <v>8</v>
      </c>
      <c r="D1480" s="1292">
        <v>2812.62784567382</v>
      </c>
      <c r="E1480" s="1293">
        <v>1134.8943012821201</v>
      </c>
      <c r="F1480" s="1294">
        <v>0.770013225163939</v>
      </c>
      <c r="G1480" s="1295">
        <v>0.31688393112812202</v>
      </c>
    </row>
    <row r="1481" spans="1:7" x14ac:dyDescent="0.3">
      <c r="A1481" s="6" t="s">
        <v>6365</v>
      </c>
      <c r="B1481" s="6"/>
      <c r="C1481" s="1288">
        <v>4</v>
      </c>
      <c r="D1481" s="1288">
        <v>2768.03356408424</v>
      </c>
      <c r="E1481" s="1289">
        <v>1672.2277493740701</v>
      </c>
      <c r="F1481" s="1290">
        <v>0.75780464710997397</v>
      </c>
      <c r="G1481" s="1291">
        <v>0.464661525849976</v>
      </c>
    </row>
    <row r="1482" spans="1:7" x14ac:dyDescent="0.3">
      <c r="A1482" s="11" t="s">
        <v>1065</v>
      </c>
      <c r="B1482" s="11"/>
      <c r="C1482" s="1292">
        <v>7</v>
      </c>
      <c r="D1482" s="1292">
        <v>2031.4780460104</v>
      </c>
      <c r="E1482" s="1293">
        <v>1064.8283730923699</v>
      </c>
      <c r="F1482" s="1294">
        <v>0.55615781677773102</v>
      </c>
      <c r="G1482" s="1295">
        <v>0.287327806589047</v>
      </c>
    </row>
    <row r="1483" spans="1:7" x14ac:dyDescent="0.3">
      <c r="A1483" s="6" t="s">
        <v>3101</v>
      </c>
      <c r="B1483" s="6"/>
      <c r="C1483" s="1288">
        <v>1</v>
      </c>
      <c r="D1483" s="1288">
        <v>1874.56403071471</v>
      </c>
      <c r="E1483" s="1289">
        <v>1875.5583865251101</v>
      </c>
      <c r="F1483" s="1290">
        <v>0.51319946123947402</v>
      </c>
      <c r="G1483" s="1291">
        <v>0.51413431763987205</v>
      </c>
    </row>
    <row r="1484" spans="1:7" x14ac:dyDescent="0.3">
      <c r="A1484" s="11" t="s">
        <v>1118</v>
      </c>
      <c r="B1484" s="11"/>
      <c r="C1484" s="1292">
        <v>5</v>
      </c>
      <c r="D1484" s="1292">
        <v>1683.6627646188099</v>
      </c>
      <c r="E1484" s="1293">
        <v>960.84167513782404</v>
      </c>
      <c r="F1484" s="1294">
        <v>0.46093641484303</v>
      </c>
      <c r="G1484" s="1295">
        <v>0.254219591457711</v>
      </c>
    </row>
    <row r="1485" spans="1:7" x14ac:dyDescent="0.3">
      <c r="A1485" s="6" t="s">
        <v>1069</v>
      </c>
      <c r="B1485" s="6"/>
      <c r="C1485" s="1288">
        <v>5</v>
      </c>
      <c r="D1485" s="1288">
        <v>1625.5023996074799</v>
      </c>
      <c r="E1485" s="1289">
        <v>864.86800224018202</v>
      </c>
      <c r="F1485" s="1290">
        <v>0.44501384964906998</v>
      </c>
      <c r="G1485" s="1291">
        <v>0.23954720615698</v>
      </c>
    </row>
    <row r="1486" spans="1:7" x14ac:dyDescent="0.3">
      <c r="A1486" s="11" t="s">
        <v>1228</v>
      </c>
      <c r="B1486" s="11"/>
      <c r="C1486" s="1292">
        <v>6</v>
      </c>
      <c r="D1486" s="1292">
        <v>1375.4657923075399</v>
      </c>
      <c r="E1486" s="1293">
        <v>623.18090082864501</v>
      </c>
      <c r="F1486" s="1294">
        <v>0.37656131879177401</v>
      </c>
      <c r="G1486" s="1295">
        <v>0.169076594381386</v>
      </c>
    </row>
    <row r="1487" spans="1:7" x14ac:dyDescent="0.3">
      <c r="A1487" s="6" t="s">
        <v>1142</v>
      </c>
      <c r="B1487" s="6"/>
      <c r="C1487" s="1288">
        <v>1</v>
      </c>
      <c r="D1487" s="1288">
        <v>1270.48370006392</v>
      </c>
      <c r="E1487" s="1289">
        <v>1565.7544213190299</v>
      </c>
      <c r="F1487" s="1290">
        <v>0.34782036767116797</v>
      </c>
      <c r="G1487" s="1291">
        <v>0.42388809160550001</v>
      </c>
    </row>
    <row r="1488" spans="1:7" x14ac:dyDescent="0.3">
      <c r="A1488" s="11" t="s">
        <v>6362</v>
      </c>
      <c r="B1488" s="11"/>
      <c r="C1488" s="1292">
        <v>5</v>
      </c>
      <c r="D1488" s="1292">
        <v>1036.45963133291</v>
      </c>
      <c r="E1488" s="1293">
        <v>812.047536209584</v>
      </c>
      <c r="F1488" s="1294">
        <v>0.28375159006636502</v>
      </c>
      <c r="G1488" s="1295">
        <v>0.219472791070907</v>
      </c>
    </row>
    <row r="1489" spans="1:7" x14ac:dyDescent="0.3">
      <c r="A1489" s="6" t="s">
        <v>3164</v>
      </c>
      <c r="B1489" s="6"/>
      <c r="C1489" s="1288">
        <v>1</v>
      </c>
      <c r="D1489" s="1288">
        <v>971.66639217273803</v>
      </c>
      <c r="E1489" s="1289">
        <v>978.15226004891304</v>
      </c>
      <c r="F1489" s="1290">
        <v>0.26601314268119802</v>
      </c>
      <c r="G1489" s="1291">
        <v>0.26738951549650702</v>
      </c>
    </row>
    <row r="1490" spans="1:7" x14ac:dyDescent="0.3">
      <c r="A1490" s="11" t="s">
        <v>3162</v>
      </c>
      <c r="B1490" s="11"/>
      <c r="C1490" s="1292">
        <v>3</v>
      </c>
      <c r="D1490" s="1292">
        <v>875.63939737251997</v>
      </c>
      <c r="E1490" s="1293">
        <v>419.08764696082602</v>
      </c>
      <c r="F1490" s="1294">
        <v>0.23972382890559499</v>
      </c>
      <c r="G1490" s="1295">
        <v>0.11682754865484</v>
      </c>
    </row>
    <row r="1491" spans="1:7" x14ac:dyDescent="0.3">
      <c r="A1491" s="6" t="s">
        <v>1116</v>
      </c>
      <c r="B1491" s="6"/>
      <c r="C1491" s="1288">
        <v>7</v>
      </c>
      <c r="D1491" s="1288">
        <v>833.04948406474796</v>
      </c>
      <c r="E1491" s="1289">
        <v>430.30626211617198</v>
      </c>
      <c r="F1491" s="1290">
        <v>0.2280639868273</v>
      </c>
      <c r="G1491" s="1291">
        <v>0.117930213835332</v>
      </c>
    </row>
    <row r="1492" spans="1:7" x14ac:dyDescent="0.3">
      <c r="A1492" s="11" t="s">
        <v>6466</v>
      </c>
      <c r="B1492" s="11"/>
      <c r="C1492" s="1292">
        <v>1</v>
      </c>
      <c r="D1492" s="1292">
        <v>741.30784027105096</v>
      </c>
      <c r="E1492" s="1293">
        <v>773.01124454552996</v>
      </c>
      <c r="F1492" s="1294">
        <v>0.20294787374889101</v>
      </c>
      <c r="G1492" s="1295">
        <v>0.212130668970058</v>
      </c>
    </row>
    <row r="1493" spans="1:7" x14ac:dyDescent="0.3">
      <c r="A1493" s="6" t="s">
        <v>3103</v>
      </c>
      <c r="B1493" s="6"/>
      <c r="C1493" s="1288">
        <v>2</v>
      </c>
      <c r="D1493" s="1288">
        <v>640.92468378158401</v>
      </c>
      <c r="E1493" s="1289">
        <v>729.33141407176799</v>
      </c>
      <c r="F1493" s="1290">
        <v>0.17546597343296999</v>
      </c>
      <c r="G1493" s="1291">
        <v>0.19857348550760601</v>
      </c>
    </row>
    <row r="1494" spans="1:7" x14ac:dyDescent="0.3">
      <c r="A1494" s="11" t="s">
        <v>1071</v>
      </c>
      <c r="B1494" s="11"/>
      <c r="C1494" s="1292">
        <v>5</v>
      </c>
      <c r="D1494" s="1292">
        <v>632.60445012423804</v>
      </c>
      <c r="E1494" s="1293">
        <v>406.88462521078799</v>
      </c>
      <c r="F1494" s="1294">
        <v>0.17318814276921399</v>
      </c>
      <c r="G1494" s="1295">
        <v>0.110125177489148</v>
      </c>
    </row>
    <row r="1495" spans="1:7" x14ac:dyDescent="0.3">
      <c r="A1495" s="6" t="s">
        <v>6359</v>
      </c>
      <c r="B1495" s="6"/>
      <c r="C1495" s="1288">
        <v>5</v>
      </c>
      <c r="D1495" s="1288">
        <v>546.01262961498799</v>
      </c>
      <c r="E1495" s="1289">
        <v>407.69644477616998</v>
      </c>
      <c r="F1495" s="1290">
        <v>0.14948189699421699</v>
      </c>
      <c r="G1495" s="1291">
        <v>0.110611688172644</v>
      </c>
    </row>
    <row r="1496" spans="1:7" x14ac:dyDescent="0.3">
      <c r="A1496" s="11" t="s">
        <v>4375</v>
      </c>
      <c r="B1496" s="11"/>
      <c r="C1496" s="1292">
        <v>2</v>
      </c>
      <c r="D1496" s="1292">
        <v>494.79931461494198</v>
      </c>
      <c r="E1496" s="1293">
        <v>370.28712309365602</v>
      </c>
      <c r="F1496" s="1294">
        <v>0.135461225928481</v>
      </c>
      <c r="G1496" s="1295">
        <v>0.10137923818036</v>
      </c>
    </row>
    <row r="1497" spans="1:7" x14ac:dyDescent="0.3">
      <c r="A1497" s="6" t="s">
        <v>1124</v>
      </c>
      <c r="B1497" s="6"/>
      <c r="C1497" s="1288">
        <v>2</v>
      </c>
      <c r="D1497" s="1288">
        <v>485.02824179904201</v>
      </c>
      <c r="E1497" s="1289">
        <v>556.189036094686</v>
      </c>
      <c r="F1497" s="1290">
        <v>0.13278619897678001</v>
      </c>
      <c r="G1497" s="1291">
        <v>0.15127150420270699</v>
      </c>
    </row>
    <row r="1498" spans="1:7" x14ac:dyDescent="0.3">
      <c r="A1498" s="11" t="s">
        <v>1236</v>
      </c>
      <c r="B1498" s="11"/>
      <c r="C1498" s="1292">
        <v>2</v>
      </c>
      <c r="D1498" s="1292">
        <v>451.97088134605201</v>
      </c>
      <c r="E1498" s="1293">
        <v>476.713066637385</v>
      </c>
      <c r="F1498" s="1294">
        <v>0.123736084231963</v>
      </c>
      <c r="G1498" s="1295">
        <v>0.12975056184903999</v>
      </c>
    </row>
    <row r="1499" spans="1:7" x14ac:dyDescent="0.3">
      <c r="A1499" s="6" t="s">
        <v>1219</v>
      </c>
      <c r="B1499" s="6"/>
      <c r="C1499" s="1288">
        <v>2</v>
      </c>
      <c r="D1499" s="1288">
        <v>427.46243704947301</v>
      </c>
      <c r="E1499" s="1289">
        <v>446.618707250684</v>
      </c>
      <c r="F1499" s="1290">
        <v>0.117026406566791</v>
      </c>
      <c r="G1499" s="1291">
        <v>0.122854392930423</v>
      </c>
    </row>
    <row r="1500" spans="1:7" x14ac:dyDescent="0.3">
      <c r="A1500" s="11" t="s">
        <v>3105</v>
      </c>
      <c r="B1500" s="11"/>
      <c r="C1500" s="1292">
        <v>5</v>
      </c>
      <c r="D1500" s="1292">
        <v>410.01788806893501</v>
      </c>
      <c r="E1500" s="1293">
        <v>299.17587035786499</v>
      </c>
      <c r="F1500" s="1294">
        <v>0.11225061177307299</v>
      </c>
      <c r="G1500" s="1295">
        <v>8.1263385096662102E-2</v>
      </c>
    </row>
    <row r="1501" spans="1:7" x14ac:dyDescent="0.3">
      <c r="A1501" s="6" t="s">
        <v>3130</v>
      </c>
      <c r="B1501" s="6"/>
      <c r="C1501" s="1288">
        <v>1</v>
      </c>
      <c r="D1501" s="1288">
        <v>234.42559223505799</v>
      </c>
      <c r="E1501" s="1289">
        <v>254.59177410386701</v>
      </c>
      <c r="F1501" s="1290">
        <v>6.4178702708761207E-2</v>
      </c>
      <c r="G1501" s="1291">
        <v>6.9820460887451696E-2</v>
      </c>
    </row>
    <row r="1502" spans="1:7" x14ac:dyDescent="0.3">
      <c r="A1502" s="11" t="s">
        <v>6360</v>
      </c>
      <c r="B1502" s="11"/>
      <c r="C1502" s="1292">
        <v>2</v>
      </c>
      <c r="D1502" s="1292">
        <v>210.255916425751</v>
      </c>
      <c r="E1502" s="1293">
        <v>143.06233620897001</v>
      </c>
      <c r="F1502" s="1294">
        <v>5.7561769704376299E-2</v>
      </c>
      <c r="G1502" s="1295">
        <v>3.8197492849403401E-2</v>
      </c>
    </row>
    <row r="1503" spans="1:7" x14ac:dyDescent="0.3">
      <c r="A1503" s="6" t="s">
        <v>6357</v>
      </c>
      <c r="B1503" s="6"/>
      <c r="C1503" s="1288">
        <v>1</v>
      </c>
      <c r="D1503" s="1288">
        <v>121.026562389405</v>
      </c>
      <c r="E1503" s="1289">
        <v>124.01671633447999</v>
      </c>
      <c r="F1503" s="1290">
        <v>3.31334462820283E-2</v>
      </c>
      <c r="G1503" s="1291">
        <v>3.3821200449878103E-2</v>
      </c>
    </row>
    <row r="1504" spans="1:7" x14ac:dyDescent="0.3">
      <c r="A1504" s="11" t="s">
        <v>3120</v>
      </c>
      <c r="B1504" s="11"/>
      <c r="C1504" s="1292">
        <v>2</v>
      </c>
      <c r="D1504" s="1292">
        <v>117.63315166206201</v>
      </c>
      <c r="E1504" s="1293">
        <v>140.43418506342499</v>
      </c>
      <c r="F1504" s="1294">
        <v>3.22044321067309E-2</v>
      </c>
      <c r="G1504" s="1295">
        <v>3.8165666179653598E-2</v>
      </c>
    </row>
    <row r="1505" spans="1:7" x14ac:dyDescent="0.3">
      <c r="A1505" s="6" t="s">
        <v>3122</v>
      </c>
      <c r="B1505" s="6"/>
      <c r="C1505" s="1288">
        <v>1</v>
      </c>
      <c r="D1505" s="1288">
        <v>114.61542411651</v>
      </c>
      <c r="E1505" s="1289">
        <v>125.834511689088</v>
      </c>
      <c r="F1505" s="1290">
        <v>3.13782687294498E-2</v>
      </c>
      <c r="G1505" s="1291">
        <v>3.4385917542759201E-2</v>
      </c>
    </row>
    <row r="1506" spans="1:7" x14ac:dyDescent="0.3">
      <c r="A1506" s="11" t="s">
        <v>1126</v>
      </c>
      <c r="B1506" s="11"/>
      <c r="C1506" s="1292">
        <v>1</v>
      </c>
      <c r="D1506" s="1292">
        <v>96.912598373486105</v>
      </c>
      <c r="E1506" s="1293">
        <v>103.61438884818899</v>
      </c>
      <c r="F1506" s="1294">
        <v>2.6531765497297001E-2</v>
      </c>
      <c r="G1506" s="1295">
        <v>2.8362072756638299E-2</v>
      </c>
    </row>
    <row r="1507" spans="1:7" x14ac:dyDescent="0.3">
      <c r="A1507" s="6" t="s">
        <v>1120</v>
      </c>
      <c r="B1507" s="6"/>
      <c r="C1507" s="1288">
        <v>2</v>
      </c>
      <c r="D1507" s="1288">
        <v>92.411504657603501</v>
      </c>
      <c r="E1507" s="1289">
        <v>95.495063696246206</v>
      </c>
      <c r="F1507" s="1290">
        <v>2.52995009109022E-2</v>
      </c>
      <c r="G1507" s="1291">
        <v>2.6180719718676401E-2</v>
      </c>
    </row>
    <row r="1508" spans="1:7" x14ac:dyDescent="0.3">
      <c r="A1508" s="11" t="s">
        <v>1241</v>
      </c>
      <c r="B1508" s="11"/>
      <c r="C1508" s="1292">
        <v>1</v>
      </c>
      <c r="D1508" s="1292">
        <v>82.7271920773087</v>
      </c>
      <c r="E1508" s="1293">
        <v>85.308224287414006</v>
      </c>
      <c r="F1508" s="1294">
        <v>2.2648226311982801E-2</v>
      </c>
      <c r="G1508" s="1295">
        <v>2.3194842139909799E-2</v>
      </c>
    </row>
    <row r="1509" spans="1:7" x14ac:dyDescent="0.3">
      <c r="A1509" s="6" t="s">
        <v>6467</v>
      </c>
      <c r="B1509" s="6"/>
      <c r="C1509" s="1288">
        <v>1</v>
      </c>
      <c r="D1509" s="1288">
        <v>75.703515629494802</v>
      </c>
      <c r="E1509" s="1289">
        <v>80.393555399871303</v>
      </c>
      <c r="F1509" s="1290">
        <v>2.07253541615104E-2</v>
      </c>
      <c r="G1509" s="1291">
        <v>2.1991223729803298E-2</v>
      </c>
    </row>
    <row r="1510" spans="1:7" x14ac:dyDescent="0.3">
      <c r="A1510" s="11" t="s">
        <v>1234</v>
      </c>
      <c r="B1510" s="11"/>
      <c r="C1510" s="1292">
        <v>1</v>
      </c>
      <c r="D1510" s="1292">
        <v>64.450777714339694</v>
      </c>
      <c r="E1510" s="1293">
        <v>65.909558260633403</v>
      </c>
      <c r="F1510" s="1294">
        <v>1.7644691702984099E-2</v>
      </c>
      <c r="G1510" s="1295">
        <v>1.80716186266664E-2</v>
      </c>
    </row>
    <row r="1511" spans="1:7" x14ac:dyDescent="0.3">
      <c r="A1511" s="6" t="s">
        <v>3417</v>
      </c>
      <c r="B1511" s="6"/>
      <c r="C1511" s="1288">
        <v>1</v>
      </c>
      <c r="D1511" s="1288">
        <v>63.933556452135399</v>
      </c>
      <c r="E1511" s="1289">
        <v>68.323435696556302</v>
      </c>
      <c r="F1511" s="1290">
        <v>1.7503092019668001E-2</v>
      </c>
      <c r="G1511" s="1291">
        <v>1.8684941025732399E-2</v>
      </c>
    </row>
    <row r="1512" spans="1:7" x14ac:dyDescent="0.3">
      <c r="A1512" s="11" t="s">
        <v>3142</v>
      </c>
      <c r="B1512" s="11"/>
      <c r="C1512" s="1292">
        <v>3</v>
      </c>
      <c r="D1512" s="1292">
        <v>35.046004834702302</v>
      </c>
      <c r="E1512" s="1293">
        <v>35.551946194902698</v>
      </c>
      <c r="F1512" s="1294">
        <v>9.5945459877985195E-3</v>
      </c>
      <c r="G1512" s="1295">
        <v>9.7163256066424095E-3</v>
      </c>
    </row>
    <row r="1513" spans="1:7" x14ac:dyDescent="0.3">
      <c r="A1513" s="6" t="s">
        <v>1019</v>
      </c>
      <c r="B1513" s="6" t="s">
        <v>1020</v>
      </c>
      <c r="C1513" s="1288">
        <v>1349</v>
      </c>
      <c r="D1513" s="1288">
        <v>451579.631219915</v>
      </c>
      <c r="E1513" s="1289">
        <v>9461.0875043695996</v>
      </c>
      <c r="F1513" s="1290">
        <v>99.842292715980903</v>
      </c>
      <c r="G1513" s="1291">
        <v>0.11866412382769501</v>
      </c>
    </row>
    <row r="1514" spans="1:7" x14ac:dyDescent="0.3">
      <c r="A1514" s="11" t="s">
        <v>1015</v>
      </c>
      <c r="B1514" s="11" t="s">
        <v>1016</v>
      </c>
      <c r="C1514" s="1292">
        <v>2</v>
      </c>
      <c r="D1514" s="1292">
        <v>713.29889589592904</v>
      </c>
      <c r="E1514" s="1293">
        <v>540.38525692340602</v>
      </c>
      <c r="F1514" s="1294">
        <v>0.157707284019073</v>
      </c>
      <c r="G1514" s="1295">
        <v>0.118664123827701</v>
      </c>
    </row>
    <row r="1515" spans="1:7" x14ac:dyDescent="0.3">
      <c r="A1515" s="6" t="s">
        <v>6354</v>
      </c>
      <c r="B1515" s="6" t="s">
        <v>6355</v>
      </c>
      <c r="C1515" s="1288">
        <v>920</v>
      </c>
      <c r="D1515" s="1288">
        <v>365270.069884189</v>
      </c>
      <c r="E1515" s="1289">
        <v>9631.0853373175905</v>
      </c>
      <c r="F1515" s="1290">
        <v>44.677911045899698</v>
      </c>
      <c r="G1515" s="1291">
        <v>1.17802363087836</v>
      </c>
    </row>
    <row r="1516" spans="1:7" x14ac:dyDescent="0.3">
      <c r="A1516" s="11" t="s">
        <v>6354</v>
      </c>
      <c r="B1516" s="11" t="s">
        <v>6356</v>
      </c>
      <c r="C1516" s="1292">
        <v>2271</v>
      </c>
      <c r="D1516" s="1292">
        <v>817563</v>
      </c>
      <c r="E1516" s="1293">
        <v>0</v>
      </c>
      <c r="F1516" s="1294">
        <v>100</v>
      </c>
      <c r="G1516" s="1295">
        <v>0</v>
      </c>
    </row>
    <row r="1517" spans="1:7" x14ac:dyDescent="0.3">
      <c r="A1517" s="3449" t="s">
        <v>445</v>
      </c>
      <c r="B1517" s="3450"/>
      <c r="C1517" s="3450"/>
      <c r="D1517" s="3450"/>
      <c r="E1517" s="3450"/>
      <c r="F1517" s="3450"/>
      <c r="G1517" s="3450"/>
    </row>
    <row r="1518" spans="1:7" x14ac:dyDescent="0.3">
      <c r="A1518" s="11" t="s">
        <v>1073</v>
      </c>
      <c r="B1518" s="11"/>
      <c r="C1518" s="1300">
        <v>179</v>
      </c>
      <c r="D1518" s="1300">
        <v>84751.290433713395</v>
      </c>
      <c r="E1518" s="1301">
        <v>10248.4335550574</v>
      </c>
      <c r="F1518" s="1302">
        <v>24.2805929468351</v>
      </c>
      <c r="G1518" s="1303">
        <v>2.9404976755735301</v>
      </c>
    </row>
    <row r="1519" spans="1:7" x14ac:dyDescent="0.3">
      <c r="A1519" s="6" t="s">
        <v>1063</v>
      </c>
      <c r="B1519" s="6"/>
      <c r="C1519" s="1296">
        <v>128</v>
      </c>
      <c r="D1519" s="1296">
        <v>55759.409164023396</v>
      </c>
      <c r="E1519" s="1297">
        <v>6132.7370998706101</v>
      </c>
      <c r="F1519" s="1298">
        <v>15.9746419191881</v>
      </c>
      <c r="G1519" s="1299">
        <v>1.8209327425266799</v>
      </c>
    </row>
    <row r="1520" spans="1:7" x14ac:dyDescent="0.3">
      <c r="A1520" s="11" t="s">
        <v>1222</v>
      </c>
      <c r="B1520" s="11"/>
      <c r="C1520" s="1300">
        <v>134</v>
      </c>
      <c r="D1520" s="1300">
        <v>54565.664895743997</v>
      </c>
      <c r="E1520" s="1301">
        <v>7085.3760632496496</v>
      </c>
      <c r="F1520" s="1302">
        <v>15.6326433665716</v>
      </c>
      <c r="G1520" s="1303">
        <v>1.93349698024154</v>
      </c>
    </row>
    <row r="1521" spans="1:7" x14ac:dyDescent="0.3">
      <c r="A1521" s="6" t="s">
        <v>6361</v>
      </c>
      <c r="B1521" s="6"/>
      <c r="C1521" s="1296">
        <v>53</v>
      </c>
      <c r="D1521" s="1296">
        <v>20879.154238098501</v>
      </c>
      <c r="E1521" s="1297">
        <v>5143.1801532682302</v>
      </c>
      <c r="F1521" s="1298">
        <v>5.9817171223600898</v>
      </c>
      <c r="G1521" s="1299">
        <v>1.5299807298656101</v>
      </c>
    </row>
    <row r="1522" spans="1:7" x14ac:dyDescent="0.3">
      <c r="A1522" s="11" t="s">
        <v>3099</v>
      </c>
      <c r="B1522" s="11"/>
      <c r="C1522" s="1300">
        <v>64</v>
      </c>
      <c r="D1522" s="1300">
        <v>20245.5640955911</v>
      </c>
      <c r="E1522" s="1301">
        <v>5179.4826127343704</v>
      </c>
      <c r="F1522" s="1302">
        <v>5.8001984190268203</v>
      </c>
      <c r="G1522" s="1303">
        <v>1.40300017835631</v>
      </c>
    </row>
    <row r="1523" spans="1:7" x14ac:dyDescent="0.3">
      <c r="A1523" s="6" t="s">
        <v>1067</v>
      </c>
      <c r="B1523" s="6"/>
      <c r="C1523" s="1296">
        <v>40</v>
      </c>
      <c r="D1523" s="1296">
        <v>17535.471185006299</v>
      </c>
      <c r="E1523" s="1297">
        <v>3145.7308533031401</v>
      </c>
      <c r="F1523" s="1298">
        <v>5.0237776415581896</v>
      </c>
      <c r="G1523" s="1299">
        <v>0.82458664134735504</v>
      </c>
    </row>
    <row r="1524" spans="1:7" x14ac:dyDescent="0.3">
      <c r="A1524" s="11" t="s">
        <v>1224</v>
      </c>
      <c r="B1524" s="11"/>
      <c r="C1524" s="1300">
        <v>54</v>
      </c>
      <c r="D1524" s="1300">
        <v>17328.386493776499</v>
      </c>
      <c r="E1524" s="1301">
        <v>5065.8401249917397</v>
      </c>
      <c r="F1524" s="1302">
        <v>4.9644494700632196</v>
      </c>
      <c r="G1524" s="1303">
        <v>1.4543308843373299</v>
      </c>
    </row>
    <row r="1525" spans="1:7" x14ac:dyDescent="0.3">
      <c r="A1525" s="6" t="s">
        <v>6364</v>
      </c>
      <c r="B1525" s="6"/>
      <c r="C1525" s="1296">
        <v>32</v>
      </c>
      <c r="D1525" s="1296">
        <v>14746.9463564445</v>
      </c>
      <c r="E1525" s="1297">
        <v>6083.8404074138998</v>
      </c>
      <c r="F1525" s="1298">
        <v>4.2248867227537596</v>
      </c>
      <c r="G1525" s="1299">
        <v>1.7747412851198701</v>
      </c>
    </row>
    <row r="1526" spans="1:7" x14ac:dyDescent="0.3">
      <c r="A1526" s="11" t="s">
        <v>6363</v>
      </c>
      <c r="B1526" s="11"/>
      <c r="C1526" s="1300">
        <v>25</v>
      </c>
      <c r="D1526" s="1300">
        <v>12554.102353739499</v>
      </c>
      <c r="E1526" s="1301">
        <v>3390.1866723409898</v>
      </c>
      <c r="F1526" s="1302">
        <v>3.5966537795959899</v>
      </c>
      <c r="G1526" s="1303">
        <v>0.92449509024899501</v>
      </c>
    </row>
    <row r="1527" spans="1:7" x14ac:dyDescent="0.3">
      <c r="A1527" s="6" t="s">
        <v>6360</v>
      </c>
      <c r="B1527" s="6"/>
      <c r="C1527" s="1296">
        <v>13</v>
      </c>
      <c r="D1527" s="1296">
        <v>7047.8985573505897</v>
      </c>
      <c r="E1527" s="1297">
        <v>2058.42289453903</v>
      </c>
      <c r="F1527" s="1298">
        <v>2.0191687362620101</v>
      </c>
      <c r="G1527" s="1299">
        <v>0.56022128321453502</v>
      </c>
    </row>
    <row r="1528" spans="1:7" x14ac:dyDescent="0.3">
      <c r="A1528" s="11" t="s">
        <v>6358</v>
      </c>
      <c r="B1528" s="11"/>
      <c r="C1528" s="1300">
        <v>20</v>
      </c>
      <c r="D1528" s="1300">
        <v>5049.4583302295396</v>
      </c>
      <c r="E1528" s="1301">
        <v>1838.9322454722601</v>
      </c>
      <c r="F1528" s="1302">
        <v>1.4466309797866901</v>
      </c>
      <c r="G1528" s="1303">
        <v>0.523975947692634</v>
      </c>
    </row>
    <row r="1529" spans="1:7" x14ac:dyDescent="0.3">
      <c r="A1529" s="6" t="s">
        <v>6365</v>
      </c>
      <c r="B1529" s="6"/>
      <c r="C1529" s="1296">
        <v>9</v>
      </c>
      <c r="D1529" s="1296">
        <v>4535.0845675987803</v>
      </c>
      <c r="E1529" s="1297">
        <v>1529.75088609512</v>
      </c>
      <c r="F1529" s="1298">
        <v>1.2992668524789499</v>
      </c>
      <c r="G1529" s="1299">
        <v>0.45930483498263602</v>
      </c>
    </row>
    <row r="1530" spans="1:7" x14ac:dyDescent="0.3">
      <c r="A1530" s="11" t="s">
        <v>1069</v>
      </c>
      <c r="B1530" s="11"/>
      <c r="C1530" s="1300">
        <v>13</v>
      </c>
      <c r="D1530" s="1300">
        <v>3899.96890747221</v>
      </c>
      <c r="E1530" s="1301">
        <v>1383.6292710612399</v>
      </c>
      <c r="F1530" s="1302">
        <v>1.11731110007946</v>
      </c>
      <c r="G1530" s="1303">
        <v>0.387914726807083</v>
      </c>
    </row>
    <row r="1531" spans="1:7" x14ac:dyDescent="0.3">
      <c r="A1531" s="6" t="s">
        <v>3114</v>
      </c>
      <c r="B1531" s="6"/>
      <c r="C1531" s="1296">
        <v>19</v>
      </c>
      <c r="D1531" s="1296">
        <v>3119.1620080479302</v>
      </c>
      <c r="E1531" s="1297">
        <v>845.80189706188196</v>
      </c>
      <c r="F1531" s="1298">
        <v>0.89361592802978496</v>
      </c>
      <c r="G1531" s="1299">
        <v>0.23866784403398</v>
      </c>
    </row>
    <row r="1532" spans="1:7" x14ac:dyDescent="0.3">
      <c r="A1532" s="11" t="s">
        <v>1075</v>
      </c>
      <c r="B1532" s="11"/>
      <c r="C1532" s="1300">
        <v>6</v>
      </c>
      <c r="D1532" s="1300">
        <v>2907.28110581292</v>
      </c>
      <c r="E1532" s="1301">
        <v>1685.8491969797601</v>
      </c>
      <c r="F1532" s="1302">
        <v>0.83291367896609603</v>
      </c>
      <c r="G1532" s="1303">
        <v>0.478723162842218</v>
      </c>
    </row>
    <row r="1533" spans="1:7" x14ac:dyDescent="0.3">
      <c r="A1533" s="6" t="s">
        <v>1226</v>
      </c>
      <c r="B1533" s="6"/>
      <c r="C1533" s="1296">
        <v>10</v>
      </c>
      <c r="D1533" s="1296">
        <v>2856.0480304182602</v>
      </c>
      <c r="E1533" s="1297">
        <v>935.40771479650198</v>
      </c>
      <c r="F1533" s="1298">
        <v>0.81823579686298598</v>
      </c>
      <c r="G1533" s="1299">
        <v>0.25903962142197501</v>
      </c>
    </row>
    <row r="1534" spans="1:7" x14ac:dyDescent="0.3">
      <c r="A1534" s="11" t="s">
        <v>6362</v>
      </c>
      <c r="B1534" s="11"/>
      <c r="C1534" s="1300">
        <v>9</v>
      </c>
      <c r="D1534" s="1300">
        <v>2194.6279539457</v>
      </c>
      <c r="E1534" s="1301">
        <v>1272.55279770842</v>
      </c>
      <c r="F1534" s="1302">
        <v>0.62874403146909497</v>
      </c>
      <c r="G1534" s="1303">
        <v>0.36480506430241</v>
      </c>
    </row>
    <row r="1535" spans="1:7" x14ac:dyDescent="0.3">
      <c r="A1535" s="6" t="s">
        <v>1228</v>
      </c>
      <c r="B1535" s="6"/>
      <c r="C1535" s="1296">
        <v>6</v>
      </c>
      <c r="D1535" s="1296">
        <v>2157.2509754349899</v>
      </c>
      <c r="E1535" s="1297">
        <v>1781.64978463391</v>
      </c>
      <c r="F1535" s="1298">
        <v>0.61803581456576895</v>
      </c>
      <c r="G1535" s="1299">
        <v>0.50162776005330001</v>
      </c>
    </row>
    <row r="1536" spans="1:7" x14ac:dyDescent="0.3">
      <c r="A1536" s="11" t="s">
        <v>1116</v>
      </c>
      <c r="B1536" s="11"/>
      <c r="C1536" s="1300">
        <v>8</v>
      </c>
      <c r="D1536" s="1300">
        <v>2141.5421110719099</v>
      </c>
      <c r="E1536" s="1301">
        <v>1307.2439000392201</v>
      </c>
      <c r="F1536" s="1302">
        <v>0.613535345731545</v>
      </c>
      <c r="G1536" s="1303">
        <v>0.37066230863405902</v>
      </c>
    </row>
    <row r="1537" spans="1:7" x14ac:dyDescent="0.3">
      <c r="A1537" s="6" t="s">
        <v>1065</v>
      </c>
      <c r="B1537" s="6"/>
      <c r="C1537" s="1296">
        <v>6</v>
      </c>
      <c r="D1537" s="1296">
        <v>1899.0583389460701</v>
      </c>
      <c r="E1537" s="1297">
        <v>1500.0557794062399</v>
      </c>
      <c r="F1537" s="1298">
        <v>0.54406560978923002</v>
      </c>
      <c r="G1537" s="1299">
        <v>0.43082957645789999</v>
      </c>
    </row>
    <row r="1538" spans="1:7" x14ac:dyDescent="0.3">
      <c r="A1538" s="11" t="s">
        <v>3128</v>
      </c>
      <c r="B1538" s="11"/>
      <c r="C1538" s="1300">
        <v>11</v>
      </c>
      <c r="D1538" s="1300">
        <v>1828.9891039879101</v>
      </c>
      <c r="E1538" s="1301">
        <v>1022.99480171205</v>
      </c>
      <c r="F1538" s="1302">
        <v>0.523991312826804</v>
      </c>
      <c r="G1538" s="1303">
        <v>0.28851895992115101</v>
      </c>
    </row>
    <row r="1539" spans="1:7" x14ac:dyDescent="0.3">
      <c r="A1539" s="6" t="s">
        <v>1079</v>
      </c>
      <c r="B1539" s="6"/>
      <c r="C1539" s="1296">
        <v>12</v>
      </c>
      <c r="D1539" s="1296">
        <v>1810.47124050701</v>
      </c>
      <c r="E1539" s="1297">
        <v>1054.1137409391899</v>
      </c>
      <c r="F1539" s="1298">
        <v>0.51868608734735899</v>
      </c>
      <c r="G1539" s="1299">
        <v>0.30994312928879397</v>
      </c>
    </row>
    <row r="1540" spans="1:7" x14ac:dyDescent="0.3">
      <c r="A1540" s="11" t="s">
        <v>1071</v>
      </c>
      <c r="B1540" s="11"/>
      <c r="C1540" s="1300">
        <v>4</v>
      </c>
      <c r="D1540" s="1300">
        <v>1571.45715804359</v>
      </c>
      <c r="E1540" s="1301">
        <v>1001.15827660088</v>
      </c>
      <c r="F1540" s="1302">
        <v>0.450210390810387</v>
      </c>
      <c r="G1540" s="1303">
        <v>0.28446954820532899</v>
      </c>
    </row>
    <row r="1541" spans="1:7" x14ac:dyDescent="0.3">
      <c r="A1541" s="6" t="s">
        <v>1118</v>
      </c>
      <c r="B1541" s="6"/>
      <c r="C1541" s="1296">
        <v>6</v>
      </c>
      <c r="D1541" s="1296">
        <v>1516.55240608082</v>
      </c>
      <c r="E1541" s="1297">
        <v>707.04570660360901</v>
      </c>
      <c r="F1541" s="1298">
        <v>0.43448060160679203</v>
      </c>
      <c r="G1541" s="1299">
        <v>0.20512543800588601</v>
      </c>
    </row>
    <row r="1542" spans="1:7" x14ac:dyDescent="0.3">
      <c r="A1542" s="11" t="s">
        <v>1077</v>
      </c>
      <c r="B1542" s="11"/>
      <c r="C1542" s="1300">
        <v>3</v>
      </c>
      <c r="D1542" s="1300">
        <v>1182.86430547739</v>
      </c>
      <c r="E1542" s="1301">
        <v>835.18085187885401</v>
      </c>
      <c r="F1542" s="1302">
        <v>0.338881526943837</v>
      </c>
      <c r="G1542" s="1303">
        <v>0.23673922428331101</v>
      </c>
    </row>
    <row r="1543" spans="1:7" x14ac:dyDescent="0.3">
      <c r="A1543" s="6" t="s">
        <v>6359</v>
      </c>
      <c r="B1543" s="6"/>
      <c r="C1543" s="1296">
        <v>5</v>
      </c>
      <c r="D1543" s="1296">
        <v>980.64908000449702</v>
      </c>
      <c r="E1543" s="1297">
        <v>587.71579388761097</v>
      </c>
      <c r="F1543" s="1298">
        <v>0.280948419940587</v>
      </c>
      <c r="G1543" s="1299">
        <v>0.170049806264642</v>
      </c>
    </row>
    <row r="1544" spans="1:7" x14ac:dyDescent="0.3">
      <c r="A1544" s="11" t="s">
        <v>1236</v>
      </c>
      <c r="B1544" s="11"/>
      <c r="C1544" s="1300">
        <v>2</v>
      </c>
      <c r="D1544" s="1300">
        <v>786.73733891789698</v>
      </c>
      <c r="E1544" s="1301">
        <v>547.65585822933099</v>
      </c>
      <c r="F1544" s="1302">
        <v>0.225394197357766</v>
      </c>
      <c r="G1544" s="1303">
        <v>0.15505102534999399</v>
      </c>
    </row>
    <row r="1545" spans="1:7" x14ac:dyDescent="0.3">
      <c r="A1545" s="6" t="s">
        <v>1114</v>
      </c>
      <c r="B1545" s="6"/>
      <c r="C1545" s="1296">
        <v>5</v>
      </c>
      <c r="D1545" s="1296">
        <v>722.75130104908396</v>
      </c>
      <c r="E1545" s="1297">
        <v>763.07262516703702</v>
      </c>
      <c r="F1545" s="1298">
        <v>0.20706268957985699</v>
      </c>
      <c r="G1545" s="1299">
        <v>0.219002327571577</v>
      </c>
    </row>
    <row r="1546" spans="1:7" x14ac:dyDescent="0.3">
      <c r="A1546" s="11" t="s">
        <v>1219</v>
      </c>
      <c r="B1546" s="11"/>
      <c r="C1546" s="1300">
        <v>2</v>
      </c>
      <c r="D1546" s="1300">
        <v>550.41949571547195</v>
      </c>
      <c r="E1546" s="1301">
        <v>388.65618249141198</v>
      </c>
      <c r="F1546" s="1302">
        <v>0.157690952634195</v>
      </c>
      <c r="G1546" s="1303">
        <v>0.111497654895777</v>
      </c>
    </row>
    <row r="1547" spans="1:7" x14ac:dyDescent="0.3">
      <c r="A1547" s="6" t="s">
        <v>1232</v>
      </c>
      <c r="B1547" s="6"/>
      <c r="C1547" s="1296">
        <v>2</v>
      </c>
      <c r="D1547" s="1296">
        <v>405.78982517724302</v>
      </c>
      <c r="E1547" s="1297">
        <v>339.37065722954202</v>
      </c>
      <c r="F1547" s="1298">
        <v>0.11625566426982301</v>
      </c>
      <c r="G1547" s="1299">
        <v>9.7055299602344602E-2</v>
      </c>
    </row>
    <row r="1548" spans="1:7" x14ac:dyDescent="0.3">
      <c r="A1548" s="11" t="s">
        <v>3162</v>
      </c>
      <c r="B1548" s="11"/>
      <c r="C1548" s="1300">
        <v>1</v>
      </c>
      <c r="D1548" s="1300">
        <v>330.36816100267998</v>
      </c>
      <c r="E1548" s="1301">
        <v>369.08353015959398</v>
      </c>
      <c r="F1548" s="1302">
        <v>9.4647937498656201E-2</v>
      </c>
      <c r="G1548" s="1303">
        <v>0.10628466295082099</v>
      </c>
    </row>
    <row r="1549" spans="1:7" x14ac:dyDescent="0.3">
      <c r="A1549" s="6" t="s">
        <v>1230</v>
      </c>
      <c r="B1549" s="6"/>
      <c r="C1549" s="1296">
        <v>2</v>
      </c>
      <c r="D1549" s="1296">
        <v>250.79636851446401</v>
      </c>
      <c r="E1549" s="1297">
        <v>202.58139739245701</v>
      </c>
      <c r="F1549" s="1298">
        <v>7.1851230881339101E-2</v>
      </c>
      <c r="G1549" s="1299">
        <v>5.7814840077331502E-2</v>
      </c>
    </row>
    <row r="1550" spans="1:7" x14ac:dyDescent="0.3">
      <c r="A1550" s="11" t="s">
        <v>1120</v>
      </c>
      <c r="B1550" s="11"/>
      <c r="C1550" s="1300">
        <v>2</v>
      </c>
      <c r="D1550" s="1300">
        <v>193.78686514013199</v>
      </c>
      <c r="E1550" s="1301">
        <v>118.34909469617401</v>
      </c>
      <c r="F1550" s="1302">
        <v>5.5518446584490601E-2</v>
      </c>
      <c r="G1550" s="1303">
        <v>3.29213723696773E-2</v>
      </c>
    </row>
    <row r="1551" spans="1:7" x14ac:dyDescent="0.3">
      <c r="A1551" s="6" t="s">
        <v>3101</v>
      </c>
      <c r="B1551" s="6"/>
      <c r="C1551" s="1296">
        <v>1</v>
      </c>
      <c r="D1551" s="1296">
        <v>191.851031683923</v>
      </c>
      <c r="E1551" s="1297">
        <v>220.88446714107101</v>
      </c>
      <c r="F1551" s="1298">
        <v>5.4963845186417198E-2</v>
      </c>
      <c r="G1551" s="1299">
        <v>6.2861154449714601E-2</v>
      </c>
    </row>
    <row r="1552" spans="1:7" x14ac:dyDescent="0.3">
      <c r="A1552" s="11" t="s">
        <v>3282</v>
      </c>
      <c r="B1552" s="11"/>
      <c r="C1552" s="1300">
        <v>1</v>
      </c>
      <c r="D1552" s="1300">
        <v>160.03285704309701</v>
      </c>
      <c r="E1552" s="1301">
        <v>163.105358710632</v>
      </c>
      <c r="F1552" s="1302">
        <v>4.5848182842969397E-2</v>
      </c>
      <c r="G1552" s="1303">
        <v>4.6526112021022199E-2</v>
      </c>
    </row>
    <row r="1553" spans="1:7" x14ac:dyDescent="0.3">
      <c r="A1553" s="6" t="s">
        <v>6357</v>
      </c>
      <c r="B1553" s="6"/>
      <c r="C1553" s="1296">
        <v>2</v>
      </c>
      <c r="D1553" s="1296">
        <v>121.026562389405</v>
      </c>
      <c r="E1553" s="1297">
        <v>124.01671633447999</v>
      </c>
      <c r="F1553" s="1298">
        <v>3.4673179394598803E-2</v>
      </c>
      <c r="G1553" s="1299">
        <v>3.5526729599956598E-2</v>
      </c>
    </row>
    <row r="1554" spans="1:7" x14ac:dyDescent="0.3">
      <c r="A1554" s="11" t="s">
        <v>1126</v>
      </c>
      <c r="B1554" s="11"/>
      <c r="C1554" s="1300">
        <v>2</v>
      </c>
      <c r="D1554" s="1300">
        <v>96.912598373486105</v>
      </c>
      <c r="E1554" s="1301">
        <v>103.61438884818899</v>
      </c>
      <c r="F1554" s="1302">
        <v>2.7764714147534501E-2</v>
      </c>
      <c r="G1554" s="1303">
        <v>2.96766736105489E-2</v>
      </c>
    </row>
    <row r="1555" spans="1:7" x14ac:dyDescent="0.3">
      <c r="A1555" s="6" t="s">
        <v>6468</v>
      </c>
      <c r="B1555" s="6"/>
      <c r="C1555" s="1296">
        <v>1</v>
      </c>
      <c r="D1555" s="1296">
        <v>75.703515629494802</v>
      </c>
      <c r="E1555" s="1297">
        <v>80.393555399871303</v>
      </c>
      <c r="F1555" s="1298">
        <v>2.1688475045483699E-2</v>
      </c>
      <c r="G1555" s="1299">
        <v>2.3017005213469999E-2</v>
      </c>
    </row>
    <row r="1556" spans="1:7" x14ac:dyDescent="0.3">
      <c r="A1556" s="11" t="s">
        <v>3164</v>
      </c>
      <c r="B1556" s="11"/>
      <c r="C1556" s="1300">
        <v>1</v>
      </c>
      <c r="D1556" s="1300">
        <v>63.933556452135399</v>
      </c>
      <c r="E1556" s="1301">
        <v>68.323435696556302</v>
      </c>
      <c r="F1556" s="1302">
        <v>1.83164722556283E-2</v>
      </c>
      <c r="G1556" s="1303">
        <v>1.9570587893589401E-2</v>
      </c>
    </row>
    <row r="1557" spans="1:7" x14ac:dyDescent="0.3">
      <c r="A1557" s="6" t="s">
        <v>3142</v>
      </c>
      <c r="B1557" s="6"/>
      <c r="C1557" s="1296">
        <v>1</v>
      </c>
      <c r="D1557" s="1296">
        <v>35.046004834702302</v>
      </c>
      <c r="E1557" s="1297">
        <v>35.551946194902698</v>
      </c>
      <c r="F1557" s="1298">
        <v>1.0040410871027E-2</v>
      </c>
      <c r="G1557" s="1299">
        <v>1.0157099344401699E-2</v>
      </c>
    </row>
    <row r="1558" spans="1:7" x14ac:dyDescent="0.3">
      <c r="A1558" s="11" t="s">
        <v>1019</v>
      </c>
      <c r="B1558" s="11" t="s">
        <v>1020</v>
      </c>
      <c r="C1558" s="1300">
        <v>1375</v>
      </c>
      <c r="D1558" s="1300">
        <v>467729.298472033</v>
      </c>
      <c r="E1558" s="1301">
        <v>9475.7045050249108</v>
      </c>
      <c r="F1558" s="1302">
        <v>99.832621116715401</v>
      </c>
      <c r="G1558" s="1303">
        <v>0.11104750034216</v>
      </c>
    </row>
    <row r="1559" spans="1:7" x14ac:dyDescent="0.3">
      <c r="A1559" s="6" t="s">
        <v>1015</v>
      </c>
      <c r="B1559" s="6" t="s">
        <v>1092</v>
      </c>
      <c r="C1559" s="1296">
        <v>3</v>
      </c>
      <c r="D1559" s="1296">
        <v>713.29889589592904</v>
      </c>
      <c r="E1559" s="1297">
        <v>540.38525692340602</v>
      </c>
      <c r="F1559" s="1298">
        <v>0.15224724781957899</v>
      </c>
      <c r="G1559" s="1299">
        <v>0.11429462398495401</v>
      </c>
    </row>
    <row r="1560" spans="1:7" x14ac:dyDescent="0.3">
      <c r="A1560" s="11" t="s">
        <v>1044</v>
      </c>
      <c r="B1560" s="11" t="s">
        <v>1045</v>
      </c>
      <c r="C1560" s="1300">
        <v>1</v>
      </c>
      <c r="D1560" s="1300">
        <v>70.893753580764994</v>
      </c>
      <c r="E1560" s="1301">
        <v>71.544670071994304</v>
      </c>
      <c r="F1560" s="1302">
        <v>1.51316354649814E-2</v>
      </c>
      <c r="G1560" s="1303">
        <v>1.52989409712222E-2</v>
      </c>
    </row>
    <row r="1561" spans="1:7" x14ac:dyDescent="0.3">
      <c r="A1561" s="6" t="s">
        <v>6354</v>
      </c>
      <c r="B1561" s="6" t="s">
        <v>6355</v>
      </c>
      <c r="C1561" s="1296">
        <v>894</v>
      </c>
      <c r="D1561" s="1296">
        <v>349049.50887849001</v>
      </c>
      <c r="E1561" s="1297">
        <v>9621.5902711988292</v>
      </c>
      <c r="F1561" s="1298">
        <v>42.693897458482098</v>
      </c>
      <c r="G1561" s="1299">
        <v>1.1768622444018699</v>
      </c>
    </row>
    <row r="1562" spans="1:7" x14ac:dyDescent="0.3">
      <c r="A1562" s="11" t="s">
        <v>6354</v>
      </c>
      <c r="B1562" s="11" t="s">
        <v>6356</v>
      </c>
      <c r="C1562" s="1300">
        <v>2273</v>
      </c>
      <c r="D1562" s="1300">
        <v>817563.00000000105</v>
      </c>
      <c r="E1562" s="1301">
        <v>0</v>
      </c>
      <c r="F1562" s="1302">
        <v>100</v>
      </c>
      <c r="G1562" s="1303">
        <v>0</v>
      </c>
    </row>
    <row r="1563" spans="1:7" x14ac:dyDescent="0.3">
      <c r="A1563" s="3449" t="s">
        <v>554</v>
      </c>
      <c r="B1563" s="3450"/>
      <c r="C1563" s="3450"/>
      <c r="D1563" s="3450"/>
      <c r="E1563" s="3450"/>
      <c r="F1563" s="3450"/>
      <c r="G1563" s="3450"/>
    </row>
    <row r="1564" spans="1:7" x14ac:dyDescent="0.3">
      <c r="A1564" s="11" t="s">
        <v>1222</v>
      </c>
      <c r="B1564" s="11"/>
      <c r="C1564" s="1308">
        <v>1</v>
      </c>
      <c r="D1564" s="1308">
        <v>522.54425337856298</v>
      </c>
      <c r="E1564" s="1309">
        <v>550.46628790628301</v>
      </c>
      <c r="F1564" s="1310">
        <v>53.004180969115097</v>
      </c>
      <c r="G1564" s="1311">
        <v>65.843282329255899</v>
      </c>
    </row>
    <row r="1565" spans="1:7" x14ac:dyDescent="0.3">
      <c r="A1565" s="6" t="s">
        <v>1063</v>
      </c>
      <c r="B1565" s="6"/>
      <c r="C1565" s="1304">
        <v>1</v>
      </c>
      <c r="D1565" s="1304">
        <v>463.310529818715</v>
      </c>
      <c r="E1565" s="1305">
        <v>475.13405804039297</v>
      </c>
      <c r="F1565" s="1306">
        <v>46.995819030884903</v>
      </c>
      <c r="G1565" s="1307">
        <v>65.843282329255899</v>
      </c>
    </row>
    <row r="1566" spans="1:7" x14ac:dyDescent="0.3">
      <c r="A1566" s="11" t="s">
        <v>1019</v>
      </c>
      <c r="B1566" s="11" t="s">
        <v>1020</v>
      </c>
      <c r="C1566" s="1308">
        <v>2270</v>
      </c>
      <c r="D1566" s="1308">
        <v>816577.14521680097</v>
      </c>
      <c r="E1566" s="1309">
        <v>631.35496491414904</v>
      </c>
      <c r="F1566" s="1310">
        <v>100</v>
      </c>
      <c r="G1566" s="1311">
        <v>0</v>
      </c>
    </row>
    <row r="1567" spans="1:7" x14ac:dyDescent="0.3">
      <c r="A1567" s="6" t="s">
        <v>6354</v>
      </c>
      <c r="B1567" s="6" t="s">
        <v>6355</v>
      </c>
      <c r="C1567" s="1304">
        <v>2</v>
      </c>
      <c r="D1567" s="1304">
        <v>985.85478319727804</v>
      </c>
      <c r="E1567" s="1305">
        <v>631.35496491191202</v>
      </c>
      <c r="F1567" s="1306">
        <v>0.120584564516408</v>
      </c>
      <c r="G1567" s="1307">
        <v>7.7224013918427606E-2</v>
      </c>
    </row>
    <row r="1568" spans="1:7" x14ac:dyDescent="0.3">
      <c r="A1568" s="11" t="s">
        <v>6354</v>
      </c>
      <c r="B1568" s="11" t="s">
        <v>6356</v>
      </c>
      <c r="C1568" s="1308">
        <v>2272</v>
      </c>
      <c r="D1568" s="1308">
        <v>817562.99999999802</v>
      </c>
      <c r="E1568" s="1309">
        <v>0</v>
      </c>
      <c r="F1568" s="1310">
        <v>100</v>
      </c>
      <c r="G1568" s="1311">
        <v>0</v>
      </c>
    </row>
    <row r="1569" spans="1:7" x14ac:dyDescent="0.3">
      <c r="A1569" s="3449" t="s">
        <v>982</v>
      </c>
      <c r="B1569" s="3450"/>
      <c r="C1569" s="3450"/>
      <c r="D1569" s="3450"/>
      <c r="E1569" s="3450"/>
      <c r="F1569" s="3450"/>
      <c r="G1569" s="3450"/>
    </row>
    <row r="1570" spans="1:7" x14ac:dyDescent="0.3">
      <c r="A1570" s="11" t="s">
        <v>1019</v>
      </c>
      <c r="B1570" s="11" t="s">
        <v>1020</v>
      </c>
      <c r="C1570" s="1316">
        <v>1242</v>
      </c>
      <c r="D1570" s="1316">
        <v>418994.54716052598</v>
      </c>
      <c r="E1570" s="1317">
        <v>9411.4842675537693</v>
      </c>
      <c r="F1570" s="1318">
        <v>98.450537163645393</v>
      </c>
      <c r="G1570" s="1319">
        <v>0.52241920160299604</v>
      </c>
    </row>
    <row r="1571" spans="1:7" x14ac:dyDescent="0.3">
      <c r="A1571" s="6" t="s">
        <v>1015</v>
      </c>
      <c r="B1571" s="6" t="s">
        <v>1092</v>
      </c>
      <c r="C1571" s="1312">
        <v>11</v>
      </c>
      <c r="D1571" s="1312">
        <v>3245.7465024278699</v>
      </c>
      <c r="E1571" s="1313">
        <v>1362.99861059002</v>
      </c>
      <c r="F1571" s="1314">
        <v>0.76264831804272204</v>
      </c>
      <c r="G1571" s="1315">
        <v>0.321944650829257</v>
      </c>
    </row>
    <row r="1572" spans="1:7" x14ac:dyDescent="0.3">
      <c r="A1572" s="11" t="s">
        <v>1044</v>
      </c>
      <c r="B1572" s="11" t="s">
        <v>1045</v>
      </c>
      <c r="C1572" s="1316">
        <v>3</v>
      </c>
      <c r="D1572" s="1316">
        <v>2195.6126502755001</v>
      </c>
      <c r="E1572" s="1317">
        <v>1879.90121839885</v>
      </c>
      <c r="F1572" s="1318">
        <v>0.51589989962352001</v>
      </c>
      <c r="G1572" s="1319">
        <v>0.44645715130542002</v>
      </c>
    </row>
    <row r="1573" spans="1:7" x14ac:dyDescent="0.3">
      <c r="A1573" s="6" t="s">
        <v>1017</v>
      </c>
      <c r="B1573" s="6" t="s">
        <v>1086</v>
      </c>
      <c r="C1573" s="1312">
        <v>6</v>
      </c>
      <c r="D1573" s="1312">
        <v>1152.9825153499301</v>
      </c>
      <c r="E1573" s="1313">
        <v>675.22219103453904</v>
      </c>
      <c r="F1573" s="1314">
        <v>0.27091461868834998</v>
      </c>
      <c r="G1573" s="1315">
        <v>0.15578678066462301</v>
      </c>
    </row>
    <row r="1574" spans="1:7" x14ac:dyDescent="0.3">
      <c r="A1574" s="11" t="s">
        <v>6354</v>
      </c>
      <c r="B1574" s="11" t="s">
        <v>6355</v>
      </c>
      <c r="C1574" s="1316">
        <v>1000</v>
      </c>
      <c r="D1574" s="1316">
        <v>391974.11117142101</v>
      </c>
      <c r="E1574" s="1317">
        <v>9000.0361817019893</v>
      </c>
      <c r="F1574" s="1318">
        <v>47.944208724149803</v>
      </c>
      <c r="G1574" s="1319">
        <v>1.10083702194233</v>
      </c>
    </row>
    <row r="1575" spans="1:7" x14ac:dyDescent="0.3">
      <c r="A1575" s="6" t="s">
        <v>6354</v>
      </c>
      <c r="B1575" s="6" t="s">
        <v>6356</v>
      </c>
      <c r="C1575" s="1312">
        <v>2262</v>
      </c>
      <c r="D1575" s="1312">
        <v>817563</v>
      </c>
      <c r="E1575" s="1313">
        <v>0</v>
      </c>
      <c r="F1575" s="1314">
        <v>100</v>
      </c>
      <c r="G1575" s="1315">
        <v>0</v>
      </c>
    </row>
    <row r="1576" spans="1:7" x14ac:dyDescent="0.3">
      <c r="A1576" s="3449" t="s">
        <v>978</v>
      </c>
      <c r="B1576" s="3450"/>
      <c r="C1576" s="3450"/>
      <c r="D1576" s="3450"/>
      <c r="E1576" s="3450"/>
      <c r="F1576" s="3450"/>
      <c r="G1576" s="3450"/>
    </row>
    <row r="1577" spans="1:7" x14ac:dyDescent="0.3">
      <c r="A1577" s="11" t="s">
        <v>1040</v>
      </c>
      <c r="B1577" s="11"/>
      <c r="C1577" s="1324">
        <v>302</v>
      </c>
      <c r="D1577" s="1324">
        <v>124895.08071893999</v>
      </c>
      <c r="E1577" s="1325">
        <v>3932.8091752182499</v>
      </c>
      <c r="F1577" s="1326">
        <v>31.863094311430299</v>
      </c>
      <c r="G1577" s="1327">
        <v>0.87115225715883704</v>
      </c>
    </row>
    <row r="1578" spans="1:7" x14ac:dyDescent="0.3">
      <c r="A1578" s="6" t="s">
        <v>1042</v>
      </c>
      <c r="B1578" s="6"/>
      <c r="C1578" s="1320">
        <v>250</v>
      </c>
      <c r="D1578" s="1320">
        <v>97974.214831116798</v>
      </c>
      <c r="E1578" s="1321">
        <v>7737.9280840879801</v>
      </c>
      <c r="F1578" s="1322">
        <v>24.9950728986461</v>
      </c>
      <c r="G1578" s="1323">
        <v>2.3060321886152901</v>
      </c>
    </row>
    <row r="1579" spans="1:7" x14ac:dyDescent="0.3">
      <c r="A1579" s="11" t="s">
        <v>1031</v>
      </c>
      <c r="B1579" s="11"/>
      <c r="C1579" s="1324">
        <v>127</v>
      </c>
      <c r="D1579" s="1324">
        <v>43413.864384496999</v>
      </c>
      <c r="E1579" s="1325">
        <v>8829.2193034393094</v>
      </c>
      <c r="F1579" s="1326">
        <v>11.0756968756824</v>
      </c>
      <c r="G1579" s="1327">
        <v>2.0559090779009899</v>
      </c>
    </row>
    <row r="1580" spans="1:7" x14ac:dyDescent="0.3">
      <c r="A1580" s="6" t="s">
        <v>1061</v>
      </c>
      <c r="B1580" s="6"/>
      <c r="C1580" s="1320">
        <v>124</v>
      </c>
      <c r="D1580" s="1320">
        <v>39913.573461344502</v>
      </c>
      <c r="E1580" s="1321">
        <v>4951.6436103023898</v>
      </c>
      <c r="F1580" s="1322">
        <v>10.1827065420372</v>
      </c>
      <c r="G1580" s="1323">
        <v>1.3534492327896801</v>
      </c>
    </row>
    <row r="1581" spans="1:7" x14ac:dyDescent="0.3">
      <c r="A1581" s="11" t="s">
        <v>1029</v>
      </c>
      <c r="B1581" s="11"/>
      <c r="C1581" s="1324">
        <v>55</v>
      </c>
      <c r="D1581" s="1324">
        <v>23151.779063919901</v>
      </c>
      <c r="E1581" s="1325">
        <v>6208.9162712687203</v>
      </c>
      <c r="F1581" s="1326">
        <v>5.9064561674061604</v>
      </c>
      <c r="G1581" s="1327">
        <v>1.49672166873006</v>
      </c>
    </row>
    <row r="1582" spans="1:7" x14ac:dyDescent="0.3">
      <c r="A1582" s="6" t="s">
        <v>1027</v>
      </c>
      <c r="B1582" s="6"/>
      <c r="C1582" s="1320">
        <v>39</v>
      </c>
      <c r="D1582" s="1320">
        <v>17618.8117971762</v>
      </c>
      <c r="E1582" s="1321">
        <v>2019.4629992237999</v>
      </c>
      <c r="F1582" s="1322">
        <v>4.4948917020366697</v>
      </c>
      <c r="G1582" s="1323">
        <v>0.53219468536043202</v>
      </c>
    </row>
    <row r="1583" spans="1:7" x14ac:dyDescent="0.3">
      <c r="A1583" s="11" t="s">
        <v>1063</v>
      </c>
      <c r="B1583" s="11"/>
      <c r="C1583" s="1324">
        <v>45</v>
      </c>
      <c r="D1583" s="1324">
        <v>14902.396057164</v>
      </c>
      <c r="E1583" s="1325">
        <v>3475.0174663038601</v>
      </c>
      <c r="F1583" s="1326">
        <v>3.8018827347111999</v>
      </c>
      <c r="G1583" s="1327">
        <v>0.85757751319701403</v>
      </c>
    </row>
    <row r="1584" spans="1:7" x14ac:dyDescent="0.3">
      <c r="A1584" s="6" t="s">
        <v>1065</v>
      </c>
      <c r="B1584" s="6"/>
      <c r="C1584" s="1320">
        <v>18</v>
      </c>
      <c r="D1584" s="1320">
        <v>8534.3649238684902</v>
      </c>
      <c r="E1584" s="1321">
        <v>2154.4501835844999</v>
      </c>
      <c r="F1584" s="1322">
        <v>2.1772777029491599</v>
      </c>
      <c r="G1584" s="1323">
        <v>0.54135786316567902</v>
      </c>
    </row>
    <row r="1585" spans="1:7" x14ac:dyDescent="0.3">
      <c r="A1585" s="11" t="s">
        <v>1025</v>
      </c>
      <c r="B1585" s="11"/>
      <c r="C1585" s="1324">
        <v>14</v>
      </c>
      <c r="D1585" s="1324">
        <v>6972.2350589644502</v>
      </c>
      <c r="E1585" s="1325">
        <v>2293.3584545918202</v>
      </c>
      <c r="F1585" s="1326">
        <v>1.77874886637993</v>
      </c>
      <c r="G1585" s="1327">
        <v>0.56978402279051099</v>
      </c>
    </row>
    <row r="1586" spans="1:7" x14ac:dyDescent="0.3">
      <c r="A1586" s="6" t="s">
        <v>1023</v>
      </c>
      <c r="B1586" s="6"/>
      <c r="C1586" s="1320">
        <v>15</v>
      </c>
      <c r="D1586" s="1320">
        <v>6230.0437731410002</v>
      </c>
      <c r="E1586" s="1321">
        <v>1535.08251963471</v>
      </c>
      <c r="F1586" s="1322">
        <v>1.5894018496584901</v>
      </c>
      <c r="G1586" s="1323">
        <v>0.382094888912971</v>
      </c>
    </row>
    <row r="1587" spans="1:7" x14ac:dyDescent="0.3">
      <c r="A1587" s="11" t="s">
        <v>1021</v>
      </c>
      <c r="B1587" s="11"/>
      <c r="C1587" s="1324">
        <v>12</v>
      </c>
      <c r="D1587" s="1324">
        <v>5760.4323465470998</v>
      </c>
      <c r="E1587" s="1325">
        <v>1771.1062049329801</v>
      </c>
      <c r="F1587" s="1326">
        <v>1.4695951039552</v>
      </c>
      <c r="G1587" s="1327">
        <v>0.471290000998415</v>
      </c>
    </row>
    <row r="1588" spans="1:7" x14ac:dyDescent="0.3">
      <c r="A1588" s="6" t="s">
        <v>1067</v>
      </c>
      <c r="B1588" s="6"/>
      <c r="C1588" s="1320">
        <v>11</v>
      </c>
      <c r="D1588" s="1320">
        <v>2607.31475474126</v>
      </c>
      <c r="E1588" s="1321">
        <v>1164.4353681044599</v>
      </c>
      <c r="F1588" s="1322">
        <v>0.66517524510719706</v>
      </c>
      <c r="G1588" s="1323">
        <v>0.30491762206370099</v>
      </c>
    </row>
    <row r="1589" spans="1:7" x14ac:dyDescent="0.3">
      <c r="A1589" s="11" t="s">
        <v>1019</v>
      </c>
      <c r="B1589" s="11" t="s">
        <v>1020</v>
      </c>
      <c r="C1589" s="1324">
        <v>1242</v>
      </c>
      <c r="D1589" s="1324">
        <v>418994.54716052598</v>
      </c>
      <c r="E1589" s="1325">
        <v>9411.4842675537693</v>
      </c>
      <c r="F1589" s="1326">
        <v>98.450537163645393</v>
      </c>
      <c r="G1589" s="1327">
        <v>0.52241920160299604</v>
      </c>
    </row>
    <row r="1590" spans="1:7" x14ac:dyDescent="0.3">
      <c r="A1590" s="6" t="s">
        <v>1044</v>
      </c>
      <c r="B1590" s="6" t="s">
        <v>1045</v>
      </c>
      <c r="C1590" s="1320">
        <v>20</v>
      </c>
      <c r="D1590" s="1320">
        <v>6594.3416680533001</v>
      </c>
      <c r="E1590" s="1321">
        <v>2199.84704338148</v>
      </c>
      <c r="F1590" s="1322">
        <v>1.5494628363545899</v>
      </c>
      <c r="G1590" s="1323">
        <v>0.52241920160299704</v>
      </c>
    </row>
    <row r="1591" spans="1:7" x14ac:dyDescent="0.3">
      <c r="A1591" s="11" t="s">
        <v>6354</v>
      </c>
      <c r="B1591" s="11" t="s">
        <v>6355</v>
      </c>
      <c r="C1591" s="1324">
        <v>1012</v>
      </c>
      <c r="D1591" s="1324">
        <v>391974.11117142101</v>
      </c>
      <c r="E1591" s="1325">
        <v>9000.0361817019002</v>
      </c>
      <c r="F1591" s="1326">
        <v>47.944208724149803</v>
      </c>
      <c r="G1591" s="1327">
        <v>1.10083702194233</v>
      </c>
    </row>
    <row r="1592" spans="1:7" x14ac:dyDescent="0.3">
      <c r="A1592" s="6" t="s">
        <v>6354</v>
      </c>
      <c r="B1592" s="6" t="s">
        <v>6356</v>
      </c>
      <c r="C1592" s="1320">
        <v>2274</v>
      </c>
      <c r="D1592" s="1320">
        <v>817563</v>
      </c>
      <c r="E1592" s="1321">
        <v>0</v>
      </c>
      <c r="F1592" s="1322">
        <v>100</v>
      </c>
      <c r="G1592" s="1323">
        <v>0</v>
      </c>
    </row>
    <row r="1593" spans="1:7" x14ac:dyDescent="0.3">
      <c r="A1593" s="3449" t="s">
        <v>980</v>
      </c>
      <c r="B1593" s="3450"/>
      <c r="C1593" s="3450"/>
      <c r="D1593" s="3450"/>
      <c r="E1593" s="3450"/>
      <c r="F1593" s="3450"/>
      <c r="G1593" s="3450"/>
    </row>
    <row r="1594" spans="1:7" x14ac:dyDescent="0.3">
      <c r="A1594" s="11" t="s">
        <v>6469</v>
      </c>
      <c r="B1594" s="11"/>
      <c r="C1594" s="1332">
        <v>454</v>
      </c>
      <c r="D1594" s="1332">
        <v>167688.89656993901</v>
      </c>
      <c r="E1594" s="1333">
        <v>8554.4229583465294</v>
      </c>
      <c r="F1594" s="1334">
        <v>42.780605093739098</v>
      </c>
      <c r="G1594" s="1335">
        <v>2.38810079982151</v>
      </c>
    </row>
    <row r="1595" spans="1:7" x14ac:dyDescent="0.3">
      <c r="A1595" s="6" t="s">
        <v>1224</v>
      </c>
      <c r="B1595" s="6"/>
      <c r="C1595" s="1328">
        <v>234</v>
      </c>
      <c r="D1595" s="1328">
        <v>91580.779858772104</v>
      </c>
      <c r="E1595" s="1329">
        <v>10096.645510648301</v>
      </c>
      <c r="F1595" s="1330">
        <v>23.363986867673901</v>
      </c>
      <c r="G1595" s="1331">
        <v>2.3654146499999902</v>
      </c>
    </row>
    <row r="1596" spans="1:7" x14ac:dyDescent="0.3">
      <c r="A1596" s="11" t="s">
        <v>3128</v>
      </c>
      <c r="B1596" s="11"/>
      <c r="C1596" s="1332">
        <v>83</v>
      </c>
      <c r="D1596" s="1332">
        <v>35445.615309038898</v>
      </c>
      <c r="E1596" s="1333">
        <v>7503.4992356497996</v>
      </c>
      <c r="F1596" s="1334">
        <v>9.04284601937335</v>
      </c>
      <c r="G1596" s="1335">
        <v>1.83605493398986</v>
      </c>
    </row>
    <row r="1597" spans="1:7" x14ac:dyDescent="0.3">
      <c r="A1597" s="6" t="s">
        <v>1073</v>
      </c>
      <c r="B1597" s="6"/>
      <c r="C1597" s="1328">
        <v>72</v>
      </c>
      <c r="D1597" s="1328">
        <v>27600.900692342399</v>
      </c>
      <c r="E1597" s="1329">
        <v>4477.5904909417504</v>
      </c>
      <c r="F1597" s="1330">
        <v>7.0415111370127601</v>
      </c>
      <c r="G1597" s="1331">
        <v>1.19703347775309</v>
      </c>
    </row>
    <row r="1598" spans="1:7" x14ac:dyDescent="0.3">
      <c r="A1598" s="11" t="s">
        <v>1228</v>
      </c>
      <c r="B1598" s="11"/>
      <c r="C1598" s="1332">
        <v>34</v>
      </c>
      <c r="D1598" s="1332">
        <v>14323.702783606601</v>
      </c>
      <c r="E1598" s="1333">
        <v>4116.00138454432</v>
      </c>
      <c r="F1598" s="1334">
        <v>3.6542471493333899</v>
      </c>
      <c r="G1598" s="1335">
        <v>0.99974087159061098</v>
      </c>
    </row>
    <row r="1599" spans="1:7" x14ac:dyDescent="0.3">
      <c r="A1599" s="6" t="s">
        <v>3142</v>
      </c>
      <c r="B1599" s="6"/>
      <c r="C1599" s="1328">
        <v>28</v>
      </c>
      <c r="D1599" s="1328">
        <v>12572.1649573469</v>
      </c>
      <c r="E1599" s="1329">
        <v>3651.6775324151499</v>
      </c>
      <c r="F1599" s="1330">
        <v>3.2073967639788199</v>
      </c>
      <c r="G1599" s="1331">
        <v>0.92184968492311503</v>
      </c>
    </row>
    <row r="1600" spans="1:7" x14ac:dyDescent="0.3">
      <c r="A1600" s="11" t="s">
        <v>1226</v>
      </c>
      <c r="B1600" s="11"/>
      <c r="C1600" s="1332">
        <v>25</v>
      </c>
      <c r="D1600" s="1332">
        <v>11407.0682739163</v>
      </c>
      <c r="E1600" s="1333">
        <v>3524.1478542417499</v>
      </c>
      <c r="F1600" s="1334">
        <v>2.9101585918075301</v>
      </c>
      <c r="G1600" s="1335">
        <v>0.87465091245876203</v>
      </c>
    </row>
    <row r="1601" spans="1:7" x14ac:dyDescent="0.3">
      <c r="A1601" s="6" t="s">
        <v>1222</v>
      </c>
      <c r="B1601" s="6"/>
      <c r="C1601" s="1328">
        <v>29</v>
      </c>
      <c r="D1601" s="1328">
        <v>9097.0338612850901</v>
      </c>
      <c r="E1601" s="1329">
        <v>2969.0263530811799</v>
      </c>
      <c r="F1601" s="1330">
        <v>2.3208251774839099</v>
      </c>
      <c r="G1601" s="1331">
        <v>0.78531741721449699</v>
      </c>
    </row>
    <row r="1602" spans="1:7" x14ac:dyDescent="0.3">
      <c r="A1602" s="11" t="s">
        <v>3099</v>
      </c>
      <c r="B1602" s="11"/>
      <c r="C1602" s="1332">
        <v>18</v>
      </c>
      <c r="D1602" s="1332">
        <v>8124.3408884897099</v>
      </c>
      <c r="E1602" s="1333">
        <v>3155.0772109035001</v>
      </c>
      <c r="F1602" s="1334">
        <v>2.0726728263277399</v>
      </c>
      <c r="G1602" s="1335">
        <v>0.82873829077713201</v>
      </c>
    </row>
    <row r="1603" spans="1:7" x14ac:dyDescent="0.3">
      <c r="A1603" s="6" t="s">
        <v>1063</v>
      </c>
      <c r="B1603" s="6"/>
      <c r="C1603" s="1328">
        <v>13</v>
      </c>
      <c r="D1603" s="1328">
        <v>5086.5995554412802</v>
      </c>
      <c r="E1603" s="1329">
        <v>1811.0240467620199</v>
      </c>
      <c r="F1603" s="1330">
        <v>1.2976876305019001</v>
      </c>
      <c r="G1603" s="1331">
        <v>0.45691123705875097</v>
      </c>
    </row>
    <row r="1604" spans="1:7" x14ac:dyDescent="0.3">
      <c r="A1604" s="11" t="s">
        <v>1029</v>
      </c>
      <c r="B1604" s="11"/>
      <c r="C1604" s="1332">
        <v>10</v>
      </c>
      <c r="D1604" s="1332">
        <v>4547.2363827856598</v>
      </c>
      <c r="E1604" s="1333">
        <v>2083.2591832542898</v>
      </c>
      <c r="F1604" s="1334">
        <v>1.1600858967945999</v>
      </c>
      <c r="G1604" s="1335">
        <v>0.51341273100124496</v>
      </c>
    </row>
    <row r="1605" spans="1:7" x14ac:dyDescent="0.3">
      <c r="A1605" s="6" t="s">
        <v>3114</v>
      </c>
      <c r="B1605" s="6"/>
      <c r="C1605" s="1328">
        <v>5</v>
      </c>
      <c r="D1605" s="1328">
        <v>1631.2314418728799</v>
      </c>
      <c r="E1605" s="1329">
        <v>817.38843919814497</v>
      </c>
      <c r="F1605" s="1330">
        <v>0.41615795415618501</v>
      </c>
      <c r="G1605" s="1331">
        <v>0.21247421849065601</v>
      </c>
    </row>
    <row r="1606" spans="1:7" x14ac:dyDescent="0.3">
      <c r="A1606" s="11" t="s">
        <v>1140</v>
      </c>
      <c r="B1606" s="11"/>
      <c r="C1606" s="1332">
        <v>2</v>
      </c>
      <c r="D1606" s="1332">
        <v>1467.05016985929</v>
      </c>
      <c r="E1606" s="1333">
        <v>1396.8379468037101</v>
      </c>
      <c r="F1606" s="1334">
        <v>0.37427221034444902</v>
      </c>
      <c r="G1606" s="1335">
        <v>0.35618720677855997</v>
      </c>
    </row>
    <row r="1607" spans="1:7" x14ac:dyDescent="0.3">
      <c r="A1607" s="6" t="s">
        <v>1075</v>
      </c>
      <c r="B1607" s="6"/>
      <c r="C1607" s="1328">
        <v>1</v>
      </c>
      <c r="D1607" s="1328">
        <v>769.68125313907296</v>
      </c>
      <c r="E1607" s="1329">
        <v>824.32545572567506</v>
      </c>
      <c r="F1607" s="1330">
        <v>0.19636022665855901</v>
      </c>
      <c r="G1607" s="1331">
        <v>0.20905518699719899</v>
      </c>
    </row>
    <row r="1608" spans="1:7" x14ac:dyDescent="0.3">
      <c r="A1608" s="11" t="s">
        <v>3116</v>
      </c>
      <c r="B1608" s="11"/>
      <c r="C1608" s="1332">
        <v>1</v>
      </c>
      <c r="D1608" s="1332">
        <v>436.18920299036199</v>
      </c>
      <c r="E1608" s="1333">
        <v>464.41117903967501</v>
      </c>
      <c r="F1608" s="1334">
        <v>0.111280105129087</v>
      </c>
      <c r="G1608" s="1335">
        <v>0.118126821333042</v>
      </c>
    </row>
    <row r="1609" spans="1:7" x14ac:dyDescent="0.3">
      <c r="A1609" s="6" t="s">
        <v>3105</v>
      </c>
      <c r="B1609" s="6"/>
      <c r="C1609" s="1328">
        <v>1</v>
      </c>
      <c r="D1609" s="1328">
        <v>195.619970595062</v>
      </c>
      <c r="E1609" s="1329">
        <v>198.21603736721599</v>
      </c>
      <c r="F1609" s="1330">
        <v>4.9906349684791303E-2</v>
      </c>
      <c r="G1609" s="1331">
        <v>5.0452321553281602E-2</v>
      </c>
    </row>
    <row r="1610" spans="1:7" x14ac:dyDescent="0.3">
      <c r="A1610" s="11" t="s">
        <v>1019</v>
      </c>
      <c r="B1610" s="11" t="s">
        <v>1020</v>
      </c>
      <c r="C1610" s="1332">
        <v>1242</v>
      </c>
      <c r="D1610" s="1332">
        <v>418994.54716052598</v>
      </c>
      <c r="E1610" s="1333">
        <v>9411.4842675537693</v>
      </c>
      <c r="F1610" s="1334">
        <v>98.450537163645393</v>
      </c>
      <c r="G1610" s="1335">
        <v>0.52241920160299604</v>
      </c>
    </row>
    <row r="1611" spans="1:7" x14ac:dyDescent="0.3">
      <c r="A1611" s="6" t="s">
        <v>1044</v>
      </c>
      <c r="B1611" s="6" t="s">
        <v>1045</v>
      </c>
      <c r="C1611" s="1328">
        <v>20</v>
      </c>
      <c r="D1611" s="1328">
        <v>6594.3416680533001</v>
      </c>
      <c r="E1611" s="1329">
        <v>2199.84704338148</v>
      </c>
      <c r="F1611" s="1330">
        <v>1.5494628363545899</v>
      </c>
      <c r="G1611" s="1331">
        <v>0.52241920160299704</v>
      </c>
    </row>
    <row r="1612" spans="1:7" x14ac:dyDescent="0.3">
      <c r="A1612" s="11" t="s">
        <v>6354</v>
      </c>
      <c r="B1612" s="11" t="s">
        <v>6355</v>
      </c>
      <c r="C1612" s="1332">
        <v>1010</v>
      </c>
      <c r="D1612" s="1332">
        <v>391974.11117142101</v>
      </c>
      <c r="E1612" s="1333">
        <v>9000.0361817019493</v>
      </c>
      <c r="F1612" s="1334">
        <v>47.944208724149803</v>
      </c>
      <c r="G1612" s="1335">
        <v>1.10083702194233</v>
      </c>
    </row>
    <row r="1613" spans="1:7" x14ac:dyDescent="0.3">
      <c r="A1613" s="6" t="s">
        <v>6354</v>
      </c>
      <c r="B1613" s="6" t="s">
        <v>6356</v>
      </c>
      <c r="C1613" s="1328">
        <v>2272</v>
      </c>
      <c r="D1613" s="1328">
        <v>817563</v>
      </c>
      <c r="E1613" s="1329">
        <v>0</v>
      </c>
      <c r="F1613" s="1330">
        <v>100</v>
      </c>
      <c r="G1613" s="1331">
        <v>0</v>
      </c>
    </row>
    <row r="1614" spans="1:7" x14ac:dyDescent="0.3">
      <c r="A1614" s="3449" t="s">
        <v>971</v>
      </c>
      <c r="B1614" s="3450"/>
      <c r="C1614" s="3450"/>
      <c r="D1614" s="3450"/>
      <c r="E1614" s="3450"/>
      <c r="F1614" s="3450"/>
      <c r="G1614" s="3450"/>
    </row>
    <row r="1615" spans="1:7" x14ac:dyDescent="0.3">
      <c r="A1615" s="11" t="s">
        <v>6470</v>
      </c>
      <c r="B1615" s="11"/>
      <c r="C1615" s="1340">
        <v>907</v>
      </c>
      <c r="D1615" s="1340">
        <v>346286.82298527198</v>
      </c>
      <c r="E1615" s="1341">
        <v>8544.4207714509794</v>
      </c>
      <c r="F1615" s="1342">
        <v>88.344309768415201</v>
      </c>
      <c r="G1615" s="1343">
        <v>1.6704288787207799</v>
      </c>
    </row>
    <row r="1616" spans="1:7" x14ac:dyDescent="0.3">
      <c r="A1616" s="6" t="s">
        <v>6471</v>
      </c>
      <c r="B1616" s="6"/>
      <c r="C1616" s="1336">
        <v>105</v>
      </c>
      <c r="D1616" s="1336">
        <v>45687.288186148799</v>
      </c>
      <c r="E1616" s="1337">
        <v>7001.4289674022803</v>
      </c>
      <c r="F1616" s="1338">
        <v>11.655690231584799</v>
      </c>
      <c r="G1616" s="1339">
        <v>1.6704288787207699</v>
      </c>
    </row>
    <row r="1617" spans="1:7" x14ac:dyDescent="0.3">
      <c r="A1617" s="11" t="s">
        <v>1019</v>
      </c>
      <c r="B1617" s="11" t="s">
        <v>1020</v>
      </c>
      <c r="C1617" s="1340">
        <v>1245</v>
      </c>
      <c r="D1617" s="1340">
        <v>421190.15981080203</v>
      </c>
      <c r="E1617" s="1341">
        <v>8702.32057186981</v>
      </c>
      <c r="F1617" s="1342">
        <v>98.966437063268899</v>
      </c>
      <c r="G1617" s="1343">
        <v>0.34056525929062598</v>
      </c>
    </row>
    <row r="1618" spans="1:7" x14ac:dyDescent="0.3">
      <c r="A1618" s="6" t="s">
        <v>1044</v>
      </c>
      <c r="B1618" s="6" t="s">
        <v>1045</v>
      </c>
      <c r="C1618" s="1336">
        <v>17</v>
      </c>
      <c r="D1618" s="1336">
        <v>4398.7290177778004</v>
      </c>
      <c r="E1618" s="1337">
        <v>1470.8736790524699</v>
      </c>
      <c r="F1618" s="1338">
        <v>1.0335629367310699</v>
      </c>
      <c r="G1618" s="1339">
        <v>0.34056525929062298</v>
      </c>
    </row>
    <row r="1619" spans="1:7" x14ac:dyDescent="0.3">
      <c r="A1619" s="11" t="s">
        <v>6354</v>
      </c>
      <c r="B1619" s="11" t="s">
        <v>6355</v>
      </c>
      <c r="C1619" s="1340">
        <v>1012</v>
      </c>
      <c r="D1619" s="1340">
        <v>391974.11117142101</v>
      </c>
      <c r="E1619" s="1341">
        <v>9000.0361817016292</v>
      </c>
      <c r="F1619" s="1342">
        <v>47.944208724149803</v>
      </c>
      <c r="G1619" s="1343">
        <v>1.10083702194231</v>
      </c>
    </row>
    <row r="1620" spans="1:7" x14ac:dyDescent="0.3">
      <c r="A1620" s="6" t="s">
        <v>6354</v>
      </c>
      <c r="B1620" s="6" t="s">
        <v>6356</v>
      </c>
      <c r="C1620" s="1336">
        <v>2274</v>
      </c>
      <c r="D1620" s="1336">
        <v>817563.00000000105</v>
      </c>
      <c r="E1620" s="1337">
        <v>0</v>
      </c>
      <c r="F1620" s="1338">
        <v>100</v>
      </c>
      <c r="G1620" s="1339">
        <v>0</v>
      </c>
    </row>
    <row r="1621" spans="1:7" x14ac:dyDescent="0.3">
      <c r="A1621" s="3449" t="s">
        <v>958</v>
      </c>
      <c r="B1621" s="3450"/>
      <c r="C1621" s="3450"/>
      <c r="D1621" s="3450"/>
      <c r="E1621" s="3450"/>
      <c r="F1621" s="3450"/>
      <c r="G1621" s="3450"/>
    </row>
    <row r="1622" spans="1:7" x14ac:dyDescent="0.3">
      <c r="A1622" s="11" t="s">
        <v>1023</v>
      </c>
      <c r="B1622" s="11" t="s">
        <v>1107</v>
      </c>
      <c r="C1622" s="1348">
        <v>793</v>
      </c>
      <c r="D1622" s="1348">
        <v>310681.39884486998</v>
      </c>
      <c r="E1622" s="1349">
        <v>16730.962433084202</v>
      </c>
      <c r="F1622" s="1350">
        <v>84.889485519642406</v>
      </c>
      <c r="G1622" s="1351">
        <v>2.89580146434868</v>
      </c>
    </row>
    <row r="1623" spans="1:7" x14ac:dyDescent="0.3">
      <c r="A1623" s="6" t="s">
        <v>1021</v>
      </c>
      <c r="B1623" s="6" t="s">
        <v>1106</v>
      </c>
      <c r="C1623" s="1344">
        <v>131</v>
      </c>
      <c r="D1623" s="1344">
        <v>55301.969935215202</v>
      </c>
      <c r="E1623" s="1345">
        <v>9884.7949646712805</v>
      </c>
      <c r="F1623" s="1346">
        <v>15.110514480357599</v>
      </c>
      <c r="G1623" s="1347">
        <v>2.89580146434868</v>
      </c>
    </row>
    <row r="1624" spans="1:7" x14ac:dyDescent="0.3">
      <c r="A1624" s="11" t="s">
        <v>1019</v>
      </c>
      <c r="B1624" s="11" t="s">
        <v>1020</v>
      </c>
      <c r="C1624" s="1348">
        <v>1349</v>
      </c>
      <c r="D1624" s="1348">
        <v>451579.631219915</v>
      </c>
      <c r="E1624" s="1349">
        <v>9461.0875043695996</v>
      </c>
      <c r="F1624" s="1350">
        <v>100</v>
      </c>
      <c r="G1624" s="1351">
        <v>0</v>
      </c>
    </row>
    <row r="1625" spans="1:7" x14ac:dyDescent="0.3">
      <c r="A1625" s="6" t="s">
        <v>6354</v>
      </c>
      <c r="B1625" s="6" t="s">
        <v>6355</v>
      </c>
      <c r="C1625" s="1344">
        <v>924</v>
      </c>
      <c r="D1625" s="1344">
        <v>365983.368780085</v>
      </c>
      <c r="E1625" s="1345">
        <v>9461.08750436835</v>
      </c>
      <c r="F1625" s="1346">
        <v>44.765158009851802</v>
      </c>
      <c r="G1625" s="1347">
        <v>1.15723039134218</v>
      </c>
    </row>
    <row r="1626" spans="1:7" x14ac:dyDescent="0.3">
      <c r="A1626" s="11" t="s">
        <v>6354</v>
      </c>
      <c r="B1626" s="11" t="s">
        <v>6356</v>
      </c>
      <c r="C1626" s="1348">
        <v>2273</v>
      </c>
      <c r="D1626" s="1348">
        <v>817563.00000000105</v>
      </c>
      <c r="E1626" s="1349">
        <v>0</v>
      </c>
      <c r="F1626" s="1350">
        <v>100</v>
      </c>
      <c r="G1626" s="1351">
        <v>0</v>
      </c>
    </row>
    <row r="1627" spans="1:7" x14ac:dyDescent="0.3">
      <c r="A1627" s="3449" t="s">
        <v>192</v>
      </c>
      <c r="B1627" s="3450"/>
      <c r="C1627" s="3450"/>
      <c r="D1627" s="3450"/>
      <c r="E1627" s="3450"/>
      <c r="F1627" s="3450"/>
      <c r="G1627" s="3450"/>
    </row>
    <row r="1628" spans="1:7" x14ac:dyDescent="0.3">
      <c r="A1628" s="11" t="s">
        <v>1023</v>
      </c>
      <c r="B1628" s="11" t="s">
        <v>1198</v>
      </c>
      <c r="C1628" s="1356">
        <v>572</v>
      </c>
      <c r="D1628" s="1356">
        <v>226223.82512180699</v>
      </c>
      <c r="E1628" s="1357">
        <v>17389.155590353101</v>
      </c>
      <c r="F1628" s="1358">
        <v>56.855816169463601</v>
      </c>
      <c r="G1628" s="1359">
        <v>3.5972966381663598</v>
      </c>
    </row>
    <row r="1629" spans="1:7" x14ac:dyDescent="0.3">
      <c r="A1629" s="6" t="s">
        <v>1021</v>
      </c>
      <c r="B1629" s="6" t="s">
        <v>1106</v>
      </c>
      <c r="C1629" s="1352">
        <v>458</v>
      </c>
      <c r="D1629" s="1352">
        <v>171666.558594659</v>
      </c>
      <c r="E1629" s="1353">
        <v>13071.293125694299</v>
      </c>
      <c r="F1629" s="1354">
        <v>43.144183830536399</v>
      </c>
      <c r="G1629" s="1355">
        <v>3.5972966381663598</v>
      </c>
    </row>
    <row r="1630" spans="1:7" x14ac:dyDescent="0.3">
      <c r="A1630" s="11" t="s">
        <v>1019</v>
      </c>
      <c r="B1630" s="11" t="s">
        <v>1020</v>
      </c>
      <c r="C1630" s="1356">
        <v>1242</v>
      </c>
      <c r="D1630" s="1356">
        <v>418994.54716052598</v>
      </c>
      <c r="E1630" s="1357">
        <v>9411.4842675537693</v>
      </c>
      <c r="F1630" s="1358">
        <v>99.838429028557201</v>
      </c>
      <c r="G1630" s="1359">
        <v>0.14367036900136801</v>
      </c>
    </row>
    <row r="1631" spans="1:7" x14ac:dyDescent="0.3">
      <c r="A1631" s="6" t="s">
        <v>1015</v>
      </c>
      <c r="B1631" s="6" t="s">
        <v>1092</v>
      </c>
      <c r="C1631" s="1352">
        <v>1</v>
      </c>
      <c r="D1631" s="1352">
        <v>525.44244192778399</v>
      </c>
      <c r="E1631" s="1353">
        <v>568.70826119276001</v>
      </c>
      <c r="F1631" s="1354">
        <v>0.125202937132498</v>
      </c>
      <c r="G1631" s="1355">
        <v>0.13666987232366001</v>
      </c>
    </row>
    <row r="1632" spans="1:7" x14ac:dyDescent="0.3">
      <c r="A1632" s="11" t="s">
        <v>1017</v>
      </c>
      <c r="B1632" s="11" t="s">
        <v>1086</v>
      </c>
      <c r="C1632" s="1356">
        <v>1</v>
      </c>
      <c r="D1632" s="1356">
        <v>152.626681081014</v>
      </c>
      <c r="E1632" s="1357">
        <v>157.47768490154999</v>
      </c>
      <c r="F1632" s="1358">
        <v>3.6368034310320103E-2</v>
      </c>
      <c r="G1632" s="1359">
        <v>3.73641807900124E-2</v>
      </c>
    </row>
    <row r="1633" spans="1:7" x14ac:dyDescent="0.3">
      <c r="A1633" s="6" t="s">
        <v>6354</v>
      </c>
      <c r="B1633" s="6" t="s">
        <v>6355</v>
      </c>
      <c r="C1633" s="1352">
        <v>1030</v>
      </c>
      <c r="D1633" s="1352">
        <v>397890.38371646497</v>
      </c>
      <c r="E1633" s="1353">
        <v>9260.4883331138099</v>
      </c>
      <c r="F1633" s="1354">
        <v>48.6678560204492</v>
      </c>
      <c r="G1633" s="1355">
        <v>1.1326941572838201</v>
      </c>
    </row>
    <row r="1634" spans="1:7" x14ac:dyDescent="0.3">
      <c r="A1634" s="11" t="s">
        <v>6354</v>
      </c>
      <c r="B1634" s="11" t="s">
        <v>6356</v>
      </c>
      <c r="C1634" s="1356">
        <v>2274</v>
      </c>
      <c r="D1634" s="1356">
        <v>817563</v>
      </c>
      <c r="E1634" s="1357">
        <v>0</v>
      </c>
      <c r="F1634" s="1358">
        <v>100</v>
      </c>
      <c r="G1634" s="1359">
        <v>0</v>
      </c>
    </row>
    <row r="1635" spans="1:7" x14ac:dyDescent="0.3">
      <c r="A1635" s="3449" t="s">
        <v>952</v>
      </c>
      <c r="B1635" s="3450"/>
      <c r="C1635" s="3450"/>
      <c r="D1635" s="3450"/>
      <c r="E1635" s="3450"/>
      <c r="F1635" s="3450"/>
      <c r="G1635" s="3450"/>
    </row>
    <row r="1636" spans="1:7" x14ac:dyDescent="0.3">
      <c r="A1636" s="11" t="s">
        <v>1219</v>
      </c>
      <c r="B1636" s="11"/>
      <c r="C1636" s="1364">
        <v>48</v>
      </c>
      <c r="D1636" s="1364">
        <v>19433.710570635001</v>
      </c>
      <c r="E1636" s="1365">
        <v>4452.9526211395196</v>
      </c>
      <c r="F1636" s="1366">
        <v>34.916305846177501</v>
      </c>
      <c r="G1636" s="1367">
        <v>5.4048803656409499</v>
      </c>
    </row>
    <row r="1637" spans="1:7" x14ac:dyDescent="0.3">
      <c r="A1637" s="6" t="s">
        <v>6361</v>
      </c>
      <c r="B1637" s="6"/>
      <c r="C1637" s="1360">
        <v>17</v>
      </c>
      <c r="D1637" s="1360">
        <v>5897.0176607169196</v>
      </c>
      <c r="E1637" s="1361">
        <v>1824.73833767012</v>
      </c>
      <c r="F1637" s="1362">
        <v>10.595098217271399</v>
      </c>
      <c r="G1637" s="1363">
        <v>2.8727705392128402</v>
      </c>
    </row>
    <row r="1638" spans="1:7" x14ac:dyDescent="0.3">
      <c r="A1638" s="11" t="s">
        <v>6360</v>
      </c>
      <c r="B1638" s="11"/>
      <c r="C1638" s="1364">
        <v>11</v>
      </c>
      <c r="D1638" s="1364">
        <v>5164.8619345341904</v>
      </c>
      <c r="E1638" s="1365">
        <v>1646.48431145359</v>
      </c>
      <c r="F1638" s="1366">
        <v>9.2796431388647207</v>
      </c>
      <c r="G1638" s="1367">
        <v>2.2945351419629101</v>
      </c>
    </row>
    <row r="1639" spans="1:7" x14ac:dyDescent="0.3">
      <c r="A1639" s="6" t="s">
        <v>6358</v>
      </c>
      <c r="B1639" s="6"/>
      <c r="C1639" s="1360">
        <v>12</v>
      </c>
      <c r="D1639" s="1360">
        <v>5139.5015864058896</v>
      </c>
      <c r="E1639" s="1361">
        <v>1862.02685819965</v>
      </c>
      <c r="F1639" s="1362">
        <v>9.2340785171011692</v>
      </c>
      <c r="G1639" s="1363">
        <v>2.7918383083395799</v>
      </c>
    </row>
    <row r="1640" spans="1:7" x14ac:dyDescent="0.3">
      <c r="A1640" s="11" t="s">
        <v>6359</v>
      </c>
      <c r="B1640" s="11"/>
      <c r="C1640" s="1364">
        <v>7</v>
      </c>
      <c r="D1640" s="1364">
        <v>4596.4189573732401</v>
      </c>
      <c r="E1640" s="1365">
        <v>2096.7621497063401</v>
      </c>
      <c r="F1640" s="1366">
        <v>8.2583287185164895</v>
      </c>
      <c r="G1640" s="1367">
        <v>4.2882076849154904</v>
      </c>
    </row>
    <row r="1641" spans="1:7" x14ac:dyDescent="0.3">
      <c r="A1641" s="6" t="s">
        <v>6357</v>
      </c>
      <c r="B1641" s="6"/>
      <c r="C1641" s="1360">
        <v>9</v>
      </c>
      <c r="D1641" s="1360">
        <v>4042.11746242447</v>
      </c>
      <c r="E1641" s="1361">
        <v>1949.0324833264399</v>
      </c>
      <c r="F1641" s="1362">
        <v>7.2624221232073296</v>
      </c>
      <c r="G1641" s="1363">
        <v>2.6827329969299698</v>
      </c>
    </row>
    <row r="1642" spans="1:7" x14ac:dyDescent="0.3">
      <c r="A1642" s="11" t="s">
        <v>1063</v>
      </c>
      <c r="B1642" s="11"/>
      <c r="C1642" s="1364">
        <v>9</v>
      </c>
      <c r="D1642" s="1364">
        <v>2670.8411147839702</v>
      </c>
      <c r="E1642" s="1365">
        <v>750.46553930520497</v>
      </c>
      <c r="F1642" s="1366">
        <v>4.7986669808315296</v>
      </c>
      <c r="G1642" s="1367">
        <v>2.0820171402449601</v>
      </c>
    </row>
    <row r="1643" spans="1:7" x14ac:dyDescent="0.3">
      <c r="A1643" s="6" t="s">
        <v>1222</v>
      </c>
      <c r="B1643" s="6"/>
      <c r="C1643" s="1360">
        <v>3</v>
      </c>
      <c r="D1643" s="1360">
        <v>2367.72738540507</v>
      </c>
      <c r="E1643" s="1361">
        <v>1547.2620885111401</v>
      </c>
      <c r="F1643" s="1362">
        <v>4.2540663168100297</v>
      </c>
      <c r="G1643" s="1363">
        <v>2.5163643921607499</v>
      </c>
    </row>
    <row r="1644" spans="1:7" x14ac:dyDescent="0.3">
      <c r="A1644" s="11" t="s">
        <v>6364</v>
      </c>
      <c r="B1644" s="11"/>
      <c r="C1644" s="1364">
        <v>4</v>
      </c>
      <c r="D1644" s="1364">
        <v>2224.73534293385</v>
      </c>
      <c r="E1644" s="1365">
        <v>1518.28786493198</v>
      </c>
      <c r="F1644" s="1366">
        <v>3.99715429425276</v>
      </c>
      <c r="G1644" s="1367">
        <v>2.5372625894246701</v>
      </c>
    </row>
    <row r="1645" spans="1:7" x14ac:dyDescent="0.3">
      <c r="A1645" s="6" t="s">
        <v>6362</v>
      </c>
      <c r="B1645" s="6"/>
      <c r="C1645" s="1360">
        <v>4</v>
      </c>
      <c r="D1645" s="1360">
        <v>1176.3526882598601</v>
      </c>
      <c r="E1645" s="1361">
        <v>1098.98701934991</v>
      </c>
      <c r="F1645" s="1362">
        <v>2.1135382302296</v>
      </c>
      <c r="G1645" s="1363">
        <v>1.93604534533054</v>
      </c>
    </row>
    <row r="1646" spans="1:7" x14ac:dyDescent="0.3">
      <c r="A1646" s="11" t="s">
        <v>1067</v>
      </c>
      <c r="B1646" s="11"/>
      <c r="C1646" s="1364">
        <v>2</v>
      </c>
      <c r="D1646" s="1364">
        <v>852.08404435868499</v>
      </c>
      <c r="E1646" s="1365">
        <v>509.71526930627601</v>
      </c>
      <c r="F1646" s="1366">
        <v>1.53092879464982</v>
      </c>
      <c r="G1646" s="1367">
        <v>1.1406682959204499</v>
      </c>
    </row>
    <row r="1647" spans="1:7" x14ac:dyDescent="0.3">
      <c r="A1647" s="6" t="s">
        <v>1073</v>
      </c>
      <c r="B1647" s="6"/>
      <c r="C1647" s="1360">
        <v>1</v>
      </c>
      <c r="D1647" s="1360">
        <v>794.84124147549801</v>
      </c>
      <c r="E1647" s="1361">
        <v>811.08409636369402</v>
      </c>
      <c r="F1647" s="1362">
        <v>1.4280813633423901</v>
      </c>
      <c r="G1647" s="1363">
        <v>1.5527492039344399</v>
      </c>
    </row>
    <row r="1648" spans="1:7" x14ac:dyDescent="0.3">
      <c r="A1648" s="11" t="s">
        <v>1116</v>
      </c>
      <c r="B1648" s="11"/>
      <c r="C1648" s="1364">
        <v>1</v>
      </c>
      <c r="D1648" s="1364">
        <v>626.09909478235102</v>
      </c>
      <c r="E1648" s="1365">
        <v>650.51134926729003</v>
      </c>
      <c r="F1648" s="1366">
        <v>1.1249044491003299</v>
      </c>
      <c r="G1648" s="1367">
        <v>1.25426528879035</v>
      </c>
    </row>
    <row r="1649" spans="1:7" x14ac:dyDescent="0.3">
      <c r="A1649" s="6" t="s">
        <v>1224</v>
      </c>
      <c r="B1649" s="6"/>
      <c r="C1649" s="1360">
        <v>1</v>
      </c>
      <c r="D1649" s="1360">
        <v>302.273157335554</v>
      </c>
      <c r="E1649" s="1361">
        <v>301.01901923382502</v>
      </c>
      <c r="F1649" s="1362">
        <v>0.54309041869573704</v>
      </c>
      <c r="G1649" s="1363">
        <v>0.54331230586043699</v>
      </c>
    </row>
    <row r="1650" spans="1:7" x14ac:dyDescent="0.3">
      <c r="A1650" s="11" t="s">
        <v>1120</v>
      </c>
      <c r="B1650" s="11"/>
      <c r="C1650" s="1364">
        <v>1</v>
      </c>
      <c r="D1650" s="1364">
        <v>194.40929909911901</v>
      </c>
      <c r="E1650" s="1365">
        <v>207.930478127323</v>
      </c>
      <c r="F1650" s="1366">
        <v>0.34929276743180598</v>
      </c>
      <c r="G1650" s="1367">
        <v>0.37503943094636299</v>
      </c>
    </row>
    <row r="1651" spans="1:7" x14ac:dyDescent="0.3">
      <c r="A1651" s="6" t="s">
        <v>1075</v>
      </c>
      <c r="B1651" s="6"/>
      <c r="C1651" s="1360">
        <v>1</v>
      </c>
      <c r="D1651" s="1360">
        <v>174.98859130786701</v>
      </c>
      <c r="E1651" s="1361">
        <v>196.29553432171599</v>
      </c>
      <c r="F1651" s="1362">
        <v>0.31439982351746998</v>
      </c>
      <c r="G1651" s="1363">
        <v>0.39800541126863997</v>
      </c>
    </row>
    <row r="1652" spans="1:7" x14ac:dyDescent="0.3">
      <c r="A1652" s="11" t="s">
        <v>1019</v>
      </c>
      <c r="B1652" s="11" t="s">
        <v>1020</v>
      </c>
      <c r="C1652" s="1364">
        <v>2142</v>
      </c>
      <c r="D1652" s="1364">
        <v>761905.01986816595</v>
      </c>
      <c r="E1652" s="1365">
        <v>9741.2752016779505</v>
      </c>
      <c r="F1652" s="1366">
        <v>100</v>
      </c>
      <c r="G1652" s="1367">
        <v>0</v>
      </c>
    </row>
    <row r="1653" spans="1:7" x14ac:dyDescent="0.3">
      <c r="A1653" s="6" t="s">
        <v>6354</v>
      </c>
      <c r="B1653" s="6" t="s">
        <v>6355</v>
      </c>
      <c r="C1653" s="1360">
        <v>131</v>
      </c>
      <c r="D1653" s="1360">
        <v>55657.9801318315</v>
      </c>
      <c r="E1653" s="1361">
        <v>9741.2752016791001</v>
      </c>
      <c r="F1653" s="1362">
        <v>6.8077909753537904</v>
      </c>
      <c r="G1653" s="1363">
        <v>1.1915014747094801</v>
      </c>
    </row>
    <row r="1654" spans="1:7" x14ac:dyDescent="0.3">
      <c r="A1654" s="11" t="s">
        <v>6354</v>
      </c>
      <c r="B1654" s="11" t="s">
        <v>6356</v>
      </c>
      <c r="C1654" s="1364">
        <v>2273</v>
      </c>
      <c r="D1654" s="1364">
        <v>817562.99999999802</v>
      </c>
      <c r="E1654" s="1365">
        <v>0</v>
      </c>
      <c r="F1654" s="1366">
        <v>100</v>
      </c>
      <c r="G1654" s="1367">
        <v>0</v>
      </c>
    </row>
    <row r="1655" spans="1:7" x14ac:dyDescent="0.3">
      <c r="A1655" s="3449" t="s">
        <v>632</v>
      </c>
      <c r="B1655" s="3450"/>
      <c r="C1655" s="3450"/>
      <c r="D1655" s="3450"/>
      <c r="E1655" s="3450"/>
      <c r="F1655" s="3450"/>
      <c r="G1655" s="3450"/>
    </row>
    <row r="1656" spans="1:7" x14ac:dyDescent="0.3">
      <c r="A1656" s="11" t="s">
        <v>1025</v>
      </c>
      <c r="B1656" s="11" t="s">
        <v>6116</v>
      </c>
      <c r="C1656" s="1372">
        <v>83</v>
      </c>
      <c r="D1656" s="1372">
        <v>48720.581253965101</v>
      </c>
      <c r="E1656" s="1373">
        <v>7437.8369911457603</v>
      </c>
      <c r="F1656" s="1374">
        <v>34.2185851042302</v>
      </c>
      <c r="G1656" s="1375">
        <v>5.1962197758055098</v>
      </c>
    </row>
    <row r="1657" spans="1:7" x14ac:dyDescent="0.3">
      <c r="A1657" s="6" t="s">
        <v>1063</v>
      </c>
      <c r="B1657" s="6" t="s">
        <v>6122</v>
      </c>
      <c r="C1657" s="1368">
        <v>83</v>
      </c>
      <c r="D1657" s="1368">
        <v>37830.867406458899</v>
      </c>
      <c r="E1657" s="1369">
        <v>7595.3313793474199</v>
      </c>
      <c r="F1657" s="1370">
        <v>26.570265021405302</v>
      </c>
      <c r="G1657" s="1371">
        <v>5.2788555783077804</v>
      </c>
    </row>
    <row r="1658" spans="1:7" x14ac:dyDescent="0.3">
      <c r="A1658" s="11" t="s">
        <v>1027</v>
      </c>
      <c r="B1658" s="11" t="s">
        <v>6117</v>
      </c>
      <c r="C1658" s="1372">
        <v>48</v>
      </c>
      <c r="D1658" s="1372">
        <v>29080.299975919599</v>
      </c>
      <c r="E1658" s="1373">
        <v>4228.7954733853103</v>
      </c>
      <c r="F1658" s="1374">
        <v>20.424360587889399</v>
      </c>
      <c r="G1658" s="1375">
        <v>3.1638125290549901</v>
      </c>
    </row>
    <row r="1659" spans="1:7" x14ac:dyDescent="0.3">
      <c r="A1659" s="6" t="s">
        <v>1029</v>
      </c>
      <c r="B1659" s="6" t="s">
        <v>4570</v>
      </c>
      <c r="C1659" s="1368">
        <v>33</v>
      </c>
      <c r="D1659" s="1368">
        <v>12224.211564872699</v>
      </c>
      <c r="E1659" s="1369">
        <v>4010.8469329218601</v>
      </c>
      <c r="F1659" s="1370">
        <v>8.5855959226813994</v>
      </c>
      <c r="G1659" s="1371">
        <v>2.7223360766371698</v>
      </c>
    </row>
    <row r="1660" spans="1:7" x14ac:dyDescent="0.3">
      <c r="A1660" s="11" t="s">
        <v>1021</v>
      </c>
      <c r="B1660" s="11" t="s">
        <v>890</v>
      </c>
      <c r="C1660" s="1372">
        <v>12</v>
      </c>
      <c r="D1660" s="1372">
        <v>6717.8649598657503</v>
      </c>
      <c r="E1660" s="1373">
        <v>3474.9944368443198</v>
      </c>
      <c r="F1660" s="1374">
        <v>4.7182490013742102</v>
      </c>
      <c r="G1660" s="1375">
        <v>2.4622778043350899</v>
      </c>
    </row>
    <row r="1661" spans="1:7" x14ac:dyDescent="0.3">
      <c r="A1661" s="6" t="s">
        <v>1031</v>
      </c>
      <c r="B1661" s="6" t="s">
        <v>6118</v>
      </c>
      <c r="C1661" s="1368">
        <v>15</v>
      </c>
      <c r="D1661" s="1368">
        <v>4853.0167979608505</v>
      </c>
      <c r="E1661" s="1369">
        <v>2239.36944413633</v>
      </c>
      <c r="F1661" s="1370">
        <v>3.40848495726366</v>
      </c>
      <c r="G1661" s="1371">
        <v>1.5531211496344901</v>
      </c>
    </row>
    <row r="1662" spans="1:7" x14ac:dyDescent="0.3">
      <c r="A1662" s="11" t="s">
        <v>1023</v>
      </c>
      <c r="B1662" s="11" t="s">
        <v>1049</v>
      </c>
      <c r="C1662" s="1372">
        <v>1</v>
      </c>
      <c r="D1662" s="1372">
        <v>1875.93399211726</v>
      </c>
      <c r="E1662" s="1373">
        <v>1936.84870626824</v>
      </c>
      <c r="F1662" s="1374">
        <v>1.31755010525369</v>
      </c>
      <c r="G1662" s="1375">
        <v>1.36062479761926</v>
      </c>
    </row>
    <row r="1663" spans="1:7" x14ac:dyDescent="0.3">
      <c r="A1663" s="6" t="s">
        <v>1052</v>
      </c>
      <c r="B1663" s="6" t="s">
        <v>1053</v>
      </c>
      <c r="C1663" s="1368">
        <v>3</v>
      </c>
      <c r="D1663" s="1368">
        <v>1077.6909955639401</v>
      </c>
      <c r="E1663" s="1369">
        <v>1098.1914941013299</v>
      </c>
      <c r="F1663" s="1370">
        <v>0.75690929990220601</v>
      </c>
      <c r="G1663" s="1371">
        <v>0.76777534636356504</v>
      </c>
    </row>
    <row r="1664" spans="1:7" x14ac:dyDescent="0.3">
      <c r="A1664" s="11" t="s">
        <v>1019</v>
      </c>
      <c r="B1664" s="11" t="s">
        <v>1020</v>
      </c>
      <c r="C1664" s="1372">
        <v>1995</v>
      </c>
      <c r="D1664" s="1372">
        <v>674040.59850377101</v>
      </c>
      <c r="E1664" s="1373">
        <v>3242.69637517412</v>
      </c>
      <c r="F1664" s="1374">
        <v>99.830870247140297</v>
      </c>
      <c r="G1664" s="1375">
        <v>0.16854000282155099</v>
      </c>
    </row>
    <row r="1665" spans="1:7" x14ac:dyDescent="0.3">
      <c r="A1665" s="6" t="s">
        <v>1017</v>
      </c>
      <c r="B1665" s="6" t="s">
        <v>1018</v>
      </c>
      <c r="C1665" s="1368">
        <v>1</v>
      </c>
      <c r="D1665" s="1368">
        <v>1141.93454950504</v>
      </c>
      <c r="E1665" s="1369">
        <v>1137.36372917533</v>
      </c>
      <c r="F1665" s="1370">
        <v>0.16912975285972501</v>
      </c>
      <c r="G1665" s="1371">
        <v>0.16854000282155601</v>
      </c>
    </row>
    <row r="1666" spans="1:7" x14ac:dyDescent="0.3">
      <c r="A1666" s="11" t="s">
        <v>6354</v>
      </c>
      <c r="B1666" s="11" t="s">
        <v>6355</v>
      </c>
      <c r="C1666" s="1372">
        <v>278</v>
      </c>
      <c r="D1666" s="1372">
        <v>142380.46694672399</v>
      </c>
      <c r="E1666" s="1373">
        <v>3015.5657117479</v>
      </c>
      <c r="F1666" s="1374">
        <v>17.4152287893072</v>
      </c>
      <c r="G1666" s="1375">
        <v>0.36884811467099998</v>
      </c>
    </row>
    <row r="1667" spans="1:7" x14ac:dyDescent="0.3">
      <c r="A1667" s="6" t="s">
        <v>6354</v>
      </c>
      <c r="B1667" s="6" t="s">
        <v>6356</v>
      </c>
      <c r="C1667" s="1368">
        <v>2274</v>
      </c>
      <c r="D1667" s="1368">
        <v>817563</v>
      </c>
      <c r="E1667" s="1369">
        <v>0</v>
      </c>
      <c r="F1667" s="1370">
        <v>100</v>
      </c>
      <c r="G1667" s="1371">
        <v>0</v>
      </c>
    </row>
    <row r="1668" spans="1:7" x14ac:dyDescent="0.3">
      <c r="A1668" s="3449" t="s">
        <v>635</v>
      </c>
      <c r="B1668" s="3450"/>
      <c r="C1668" s="3450"/>
      <c r="D1668" s="3450"/>
      <c r="E1668" s="3450"/>
      <c r="F1668" s="3450"/>
      <c r="G1668" s="3450"/>
    </row>
    <row r="1669" spans="1:7" x14ac:dyDescent="0.3">
      <c r="A1669" s="11" t="s">
        <v>6463</v>
      </c>
      <c r="B1669" s="11"/>
      <c r="C1669" s="1380">
        <v>2</v>
      </c>
      <c r="D1669" s="1380">
        <v>706.20044534953001</v>
      </c>
      <c r="E1669" s="1381">
        <v>707.82357213338605</v>
      </c>
      <c r="F1669" s="1382">
        <v>65.529029031182105</v>
      </c>
      <c r="G1669" s="1383" t="e">
        <v>#NUM!</v>
      </c>
    </row>
    <row r="1670" spans="1:7" x14ac:dyDescent="0.3">
      <c r="A1670" s="6" t="s">
        <v>6464</v>
      </c>
      <c r="B1670" s="6"/>
      <c r="C1670" s="1376">
        <v>1</v>
      </c>
      <c r="D1670" s="1376">
        <v>371.49055021441097</v>
      </c>
      <c r="E1670" s="1377">
        <v>423.76724948162803</v>
      </c>
      <c r="F1670" s="1378">
        <v>34.470970968817902</v>
      </c>
      <c r="G1670" s="1379" t="e">
        <v>#NUM!</v>
      </c>
    </row>
    <row r="1671" spans="1:7" x14ac:dyDescent="0.3">
      <c r="A1671" s="11" t="s">
        <v>1019</v>
      </c>
      <c r="B1671" s="11" t="s">
        <v>1020</v>
      </c>
      <c r="C1671" s="1380">
        <v>2271</v>
      </c>
      <c r="D1671" s="1380">
        <v>816485.30900443497</v>
      </c>
      <c r="E1671" s="1381">
        <v>1098.1914941023499</v>
      </c>
      <c r="F1671" s="1382">
        <v>100</v>
      </c>
      <c r="G1671" s="1383">
        <v>0</v>
      </c>
    </row>
    <row r="1672" spans="1:7" x14ac:dyDescent="0.3">
      <c r="A1672" s="6" t="s">
        <v>6354</v>
      </c>
      <c r="B1672" s="6" t="s">
        <v>6355</v>
      </c>
      <c r="C1672" s="1376">
        <v>3</v>
      </c>
      <c r="D1672" s="1376">
        <v>1077.6909955639401</v>
      </c>
      <c r="E1672" s="1377">
        <v>1098.1914941013299</v>
      </c>
      <c r="F1672" s="1378">
        <v>0.13181748630551299</v>
      </c>
      <c r="G1672" s="1379">
        <v>0.13432499930908401</v>
      </c>
    </row>
    <row r="1673" spans="1:7" x14ac:dyDescent="0.3">
      <c r="A1673" s="11" t="s">
        <v>6354</v>
      </c>
      <c r="B1673" s="11" t="s">
        <v>6356</v>
      </c>
      <c r="C1673" s="1380">
        <v>2274</v>
      </c>
      <c r="D1673" s="1380">
        <v>817562.99999999802</v>
      </c>
      <c r="E1673" s="1381">
        <v>0</v>
      </c>
      <c r="F1673" s="1382">
        <v>100</v>
      </c>
      <c r="G1673" s="1383">
        <v>0</v>
      </c>
    </row>
    <row r="1674" spans="1:7" x14ac:dyDescent="0.3">
      <c r="A1674" s="3449" t="s">
        <v>638</v>
      </c>
      <c r="B1674" s="3450"/>
      <c r="C1674" s="3450"/>
      <c r="D1674" s="3450"/>
      <c r="E1674" s="3450"/>
      <c r="F1674" s="3450"/>
      <c r="G1674" s="3450"/>
    </row>
    <row r="1675" spans="1:7" x14ac:dyDescent="0.3">
      <c r="A1675" s="11" t="s">
        <v>1063</v>
      </c>
      <c r="B1675" s="11" t="s">
        <v>6122</v>
      </c>
      <c r="C1675" s="1388">
        <v>100</v>
      </c>
      <c r="D1675" s="1388">
        <v>48888.286150782202</v>
      </c>
      <c r="E1675" s="1389">
        <v>11715.824941953801</v>
      </c>
      <c r="F1675" s="1390">
        <v>34.336371553743597</v>
      </c>
      <c r="G1675" s="1391">
        <v>8.1988970733231401</v>
      </c>
    </row>
    <row r="1676" spans="1:7" x14ac:dyDescent="0.3">
      <c r="A1676" s="6" t="s">
        <v>1025</v>
      </c>
      <c r="B1676" s="6" t="s">
        <v>6116</v>
      </c>
      <c r="C1676" s="1384">
        <v>79</v>
      </c>
      <c r="D1676" s="1384">
        <v>43234.661980483797</v>
      </c>
      <c r="E1676" s="1385">
        <v>10825.0195214913</v>
      </c>
      <c r="F1676" s="1386">
        <v>30.365585187089799</v>
      </c>
      <c r="G1676" s="1387">
        <v>7.58218308414029</v>
      </c>
    </row>
    <row r="1677" spans="1:7" x14ac:dyDescent="0.3">
      <c r="A1677" s="11" t="s">
        <v>1021</v>
      </c>
      <c r="B1677" s="11" t="s">
        <v>890</v>
      </c>
      <c r="C1677" s="1388">
        <v>19</v>
      </c>
      <c r="D1677" s="1388">
        <v>15145.7608595088</v>
      </c>
      <c r="E1677" s="1389">
        <v>5490.5308522231999</v>
      </c>
      <c r="F1677" s="1390">
        <v>10.6375271723024</v>
      </c>
      <c r="G1677" s="1391">
        <v>3.7979915402195799</v>
      </c>
    </row>
    <row r="1678" spans="1:7" x14ac:dyDescent="0.3">
      <c r="A1678" s="6" t="s">
        <v>1027</v>
      </c>
      <c r="B1678" s="6" t="s">
        <v>6117</v>
      </c>
      <c r="C1678" s="1384">
        <v>35</v>
      </c>
      <c r="D1678" s="1384">
        <v>15120.534067558399</v>
      </c>
      <c r="E1678" s="1385">
        <v>2297.4757676228101</v>
      </c>
      <c r="F1678" s="1386">
        <v>10.6198092981505</v>
      </c>
      <c r="G1678" s="1387">
        <v>1.45577471920738</v>
      </c>
    </row>
    <row r="1679" spans="1:7" x14ac:dyDescent="0.3">
      <c r="A1679" s="11" t="s">
        <v>1031</v>
      </c>
      <c r="B1679" s="11" t="s">
        <v>6118</v>
      </c>
      <c r="C1679" s="1388">
        <v>18</v>
      </c>
      <c r="D1679" s="1388">
        <v>11091.9650772287</v>
      </c>
      <c r="E1679" s="1389">
        <v>5296.03945892109</v>
      </c>
      <c r="F1679" s="1390">
        <v>7.7903699257982604</v>
      </c>
      <c r="G1679" s="1391">
        <v>3.7700799995447798</v>
      </c>
    </row>
    <row r="1680" spans="1:7" x14ac:dyDescent="0.3">
      <c r="A1680" s="6" t="s">
        <v>1029</v>
      </c>
      <c r="B1680" s="6" t="s">
        <v>4570</v>
      </c>
      <c r="C1680" s="1384">
        <v>21</v>
      </c>
      <c r="D1680" s="1384">
        <v>5228.0754637913897</v>
      </c>
      <c r="E1680" s="1385">
        <v>3977.5116496026999</v>
      </c>
      <c r="F1680" s="1386">
        <v>3.6719049852165702</v>
      </c>
      <c r="G1680" s="1387">
        <v>2.7642653180040599</v>
      </c>
    </row>
    <row r="1681" spans="1:7" x14ac:dyDescent="0.3">
      <c r="A1681" s="11" t="s">
        <v>1040</v>
      </c>
      <c r="B1681" s="11" t="s">
        <v>6119</v>
      </c>
      <c r="C1681" s="1388">
        <v>1</v>
      </c>
      <c r="D1681" s="1388">
        <v>1800.95516482732</v>
      </c>
      <c r="E1681" s="1389">
        <v>1867.6255558057801</v>
      </c>
      <c r="F1681" s="1390">
        <v>1.2648892108923899</v>
      </c>
      <c r="G1681" s="1391">
        <v>1.3114422585863701</v>
      </c>
    </row>
    <row r="1682" spans="1:7" x14ac:dyDescent="0.3">
      <c r="A1682" s="6" t="s">
        <v>1052</v>
      </c>
      <c r="B1682" s="6" t="s">
        <v>1053</v>
      </c>
      <c r="C1682" s="1384">
        <v>4</v>
      </c>
      <c r="D1682" s="1384">
        <v>1486.72513259569</v>
      </c>
      <c r="E1682" s="1385">
        <v>1114.1630230409901</v>
      </c>
      <c r="F1682" s="1386">
        <v>1.0441917802896401</v>
      </c>
      <c r="G1682" s="1387">
        <v>0.77537740090644902</v>
      </c>
    </row>
    <row r="1683" spans="1:7" x14ac:dyDescent="0.3">
      <c r="A1683" s="11" t="s">
        <v>1023</v>
      </c>
      <c r="B1683" s="11" t="s">
        <v>1049</v>
      </c>
      <c r="C1683" s="1388">
        <v>1</v>
      </c>
      <c r="D1683" s="1388">
        <v>383.50304994782999</v>
      </c>
      <c r="E1683" s="1389">
        <v>505.43363981238099</v>
      </c>
      <c r="F1683" s="1390">
        <v>0.26935088651684902</v>
      </c>
      <c r="G1683" s="1391">
        <v>0.35290665334396498</v>
      </c>
    </row>
    <row r="1684" spans="1:7" x14ac:dyDescent="0.3">
      <c r="A1684" s="6" t="s">
        <v>1019</v>
      </c>
      <c r="B1684" s="6" t="s">
        <v>1020</v>
      </c>
      <c r="C1684" s="1384">
        <v>1995</v>
      </c>
      <c r="D1684" s="1384">
        <v>674040.59850377101</v>
      </c>
      <c r="E1684" s="1385">
        <v>3242.69637517412</v>
      </c>
      <c r="F1684" s="1386">
        <v>99.830870247140297</v>
      </c>
      <c r="G1684" s="1387">
        <v>0.16854000282155099</v>
      </c>
    </row>
    <row r="1685" spans="1:7" x14ac:dyDescent="0.3">
      <c r="A1685" s="11" t="s">
        <v>1017</v>
      </c>
      <c r="B1685" s="11" t="s">
        <v>1018</v>
      </c>
      <c r="C1685" s="1388">
        <v>1</v>
      </c>
      <c r="D1685" s="1388">
        <v>1141.93454950504</v>
      </c>
      <c r="E1685" s="1389">
        <v>1137.36372917533</v>
      </c>
      <c r="F1685" s="1390">
        <v>0.16912975285972501</v>
      </c>
      <c r="G1685" s="1391">
        <v>0.16854000282155601</v>
      </c>
    </row>
    <row r="1686" spans="1:7" x14ac:dyDescent="0.3">
      <c r="A1686" s="6" t="s">
        <v>6354</v>
      </c>
      <c r="B1686" s="6" t="s">
        <v>6355</v>
      </c>
      <c r="C1686" s="1384">
        <v>278</v>
      </c>
      <c r="D1686" s="1384">
        <v>142380.46694672399</v>
      </c>
      <c r="E1686" s="1385">
        <v>3015.5657117479</v>
      </c>
      <c r="F1686" s="1386">
        <v>17.4152287893072</v>
      </c>
      <c r="G1686" s="1387">
        <v>0.36884811467100098</v>
      </c>
    </row>
    <row r="1687" spans="1:7" x14ac:dyDescent="0.3">
      <c r="A1687" s="11" t="s">
        <v>6354</v>
      </c>
      <c r="B1687" s="11" t="s">
        <v>6356</v>
      </c>
      <c r="C1687" s="1388">
        <v>2274</v>
      </c>
      <c r="D1687" s="1388">
        <v>817563</v>
      </c>
      <c r="E1687" s="1389">
        <v>0</v>
      </c>
      <c r="F1687" s="1390">
        <v>100</v>
      </c>
      <c r="G1687" s="1391">
        <v>0</v>
      </c>
    </row>
    <row r="1688" spans="1:7" x14ac:dyDescent="0.3">
      <c r="A1688" s="3449" t="s">
        <v>641</v>
      </c>
      <c r="B1688" s="3450"/>
      <c r="C1688" s="3450"/>
      <c r="D1688" s="3450"/>
      <c r="E1688" s="3450"/>
      <c r="F1688" s="3450"/>
      <c r="G1688" s="3450"/>
    </row>
    <row r="1689" spans="1:7" x14ac:dyDescent="0.3">
      <c r="A1689" s="11" t="s">
        <v>6463</v>
      </c>
      <c r="B1689" s="11"/>
      <c r="C1689" s="1396">
        <v>3</v>
      </c>
      <c r="D1689" s="1396">
        <v>1115.23458238128</v>
      </c>
      <c r="E1689" s="1397">
        <v>829.85177438056303</v>
      </c>
      <c r="F1689" s="1398">
        <v>75.012829065059194</v>
      </c>
      <c r="G1689" s="1399">
        <v>29.3909896746984</v>
      </c>
    </row>
    <row r="1690" spans="1:7" x14ac:dyDescent="0.3">
      <c r="A1690" s="6" t="s">
        <v>6464</v>
      </c>
      <c r="B1690" s="6"/>
      <c r="C1690" s="1392">
        <v>1</v>
      </c>
      <c r="D1690" s="1392">
        <v>371.49055021441097</v>
      </c>
      <c r="E1690" s="1393">
        <v>423.76724948162803</v>
      </c>
      <c r="F1690" s="1394">
        <v>24.987170934940799</v>
      </c>
      <c r="G1690" s="1395">
        <v>29.3909896746984</v>
      </c>
    </row>
    <row r="1691" spans="1:7" x14ac:dyDescent="0.3">
      <c r="A1691" s="11" t="s">
        <v>1019</v>
      </c>
      <c r="B1691" s="11" t="s">
        <v>1020</v>
      </c>
      <c r="C1691" s="1396">
        <v>2270</v>
      </c>
      <c r="D1691" s="1396">
        <v>816076.27486740297</v>
      </c>
      <c r="E1691" s="1397">
        <v>1114.1630230416099</v>
      </c>
      <c r="F1691" s="1398">
        <v>100</v>
      </c>
      <c r="G1691" s="1399">
        <v>0</v>
      </c>
    </row>
    <row r="1692" spans="1:7" x14ac:dyDescent="0.3">
      <c r="A1692" s="6" t="s">
        <v>6354</v>
      </c>
      <c r="B1692" s="6" t="s">
        <v>6355</v>
      </c>
      <c r="C1692" s="1392">
        <v>4</v>
      </c>
      <c r="D1692" s="1392">
        <v>1486.72513259569</v>
      </c>
      <c r="E1692" s="1393">
        <v>1114.1630230409901</v>
      </c>
      <c r="F1692" s="1394">
        <v>0.181848387536581</v>
      </c>
      <c r="G1692" s="1395">
        <v>0.136278552605853</v>
      </c>
    </row>
    <row r="1693" spans="1:7" x14ac:dyDescent="0.3">
      <c r="A1693" s="11" t="s">
        <v>6354</v>
      </c>
      <c r="B1693" s="11" t="s">
        <v>6356</v>
      </c>
      <c r="C1693" s="1396">
        <v>2274</v>
      </c>
      <c r="D1693" s="1396">
        <v>817562.99999999802</v>
      </c>
      <c r="E1693" s="1397">
        <v>0</v>
      </c>
      <c r="F1693" s="1398">
        <v>100</v>
      </c>
      <c r="G1693" s="1399">
        <v>0</v>
      </c>
    </row>
    <row r="1694" spans="1:7" x14ac:dyDescent="0.3">
      <c r="A1694" s="3449" t="s">
        <v>144</v>
      </c>
      <c r="B1694" s="3450"/>
      <c r="C1694" s="3450"/>
      <c r="D1694" s="3450"/>
      <c r="E1694" s="3450"/>
      <c r="F1694" s="3450"/>
      <c r="G1694" s="3450"/>
    </row>
    <row r="1695" spans="1:7" x14ac:dyDescent="0.3">
      <c r="A1695" s="11" t="s">
        <v>1021</v>
      </c>
      <c r="B1695" s="11" t="s">
        <v>1106</v>
      </c>
      <c r="C1695" s="1404">
        <v>1572</v>
      </c>
      <c r="D1695" s="1404">
        <v>572104.190170569</v>
      </c>
      <c r="E1695" s="1405">
        <v>15640.7489118021</v>
      </c>
      <c r="F1695" s="1406">
        <v>75.376836622009606</v>
      </c>
      <c r="G1695" s="1407">
        <v>2.0623696796007902</v>
      </c>
    </row>
    <row r="1696" spans="1:7" x14ac:dyDescent="0.3">
      <c r="A1696" s="6" t="s">
        <v>1023</v>
      </c>
      <c r="B1696" s="6" t="s">
        <v>1198</v>
      </c>
      <c r="C1696" s="1400">
        <v>608</v>
      </c>
      <c r="D1696" s="1400">
        <v>186887.85010234101</v>
      </c>
      <c r="E1696" s="1401">
        <v>15657.210785694801</v>
      </c>
      <c r="F1696" s="1402">
        <v>24.623163377990402</v>
      </c>
      <c r="G1696" s="1403">
        <v>2.0623696796007902</v>
      </c>
    </row>
    <row r="1697" spans="1:7" x14ac:dyDescent="0.3">
      <c r="A1697" s="11" t="s">
        <v>1019</v>
      </c>
      <c r="B1697" s="11"/>
      <c r="C1697" s="1404">
        <v>93</v>
      </c>
      <c r="D1697" s="1404">
        <v>58538.954788752002</v>
      </c>
      <c r="E1697" s="1405">
        <v>0.34436598578877903</v>
      </c>
      <c r="F1697" s="1406">
        <v>99.945356984948504</v>
      </c>
      <c r="G1697" s="1407">
        <v>6.0327233308540798E-2</v>
      </c>
    </row>
    <row r="1698" spans="1:7" x14ac:dyDescent="0.3">
      <c r="A1698" s="6" t="s">
        <v>1015</v>
      </c>
      <c r="B1698" s="6" t="s">
        <v>1092</v>
      </c>
      <c r="C1698" s="1400">
        <v>1</v>
      </c>
      <c r="D1698" s="1400">
        <v>32.004938339464502</v>
      </c>
      <c r="E1698" s="1401">
        <v>35.341976192569298</v>
      </c>
      <c r="F1698" s="1402">
        <v>5.4643015051469103E-2</v>
      </c>
      <c r="G1698" s="1403">
        <v>6.0327233308539702E-2</v>
      </c>
    </row>
    <row r="1699" spans="1:7" x14ac:dyDescent="0.3">
      <c r="A1699" s="11" t="s">
        <v>6354</v>
      </c>
      <c r="B1699" s="11" t="s">
        <v>6355</v>
      </c>
      <c r="C1699" s="1404">
        <v>2180</v>
      </c>
      <c r="D1699" s="1404">
        <v>758992.04027291003</v>
      </c>
      <c r="E1699" s="1405">
        <v>35.341227944746002</v>
      </c>
      <c r="F1699" s="1406">
        <v>92.835908703415996</v>
      </c>
      <c r="G1699" s="1407">
        <v>4.3227528576352302E-3</v>
      </c>
    </row>
    <row r="1700" spans="1:7" x14ac:dyDescent="0.3">
      <c r="A1700" s="6" t="s">
        <v>6354</v>
      </c>
      <c r="B1700" s="6" t="s">
        <v>6356</v>
      </c>
      <c r="C1700" s="1400">
        <v>2274</v>
      </c>
      <c r="D1700" s="1400">
        <v>817563.00000000105</v>
      </c>
      <c r="E1700" s="1401">
        <v>0</v>
      </c>
      <c r="F1700" s="1402">
        <v>100</v>
      </c>
      <c r="G1700" s="1403">
        <v>0</v>
      </c>
    </row>
    <row r="1701" spans="1:7" x14ac:dyDescent="0.3">
      <c r="A1701" s="3449" t="s">
        <v>147</v>
      </c>
      <c r="B1701" s="3450"/>
      <c r="C1701" s="3450"/>
      <c r="D1701" s="3450"/>
      <c r="E1701" s="3450"/>
      <c r="F1701" s="3450"/>
      <c r="G1701" s="3450"/>
    </row>
    <row r="1702" spans="1:7" x14ac:dyDescent="0.3">
      <c r="A1702" s="11" t="s">
        <v>1021</v>
      </c>
      <c r="B1702" s="11" t="s">
        <v>1106</v>
      </c>
      <c r="C1702" s="1412">
        <v>1470</v>
      </c>
      <c r="D1702" s="1412">
        <v>540214.50338660099</v>
      </c>
      <c r="E1702" s="1413">
        <v>14525.827743993499</v>
      </c>
      <c r="F1702" s="1414">
        <v>94.434397893359204</v>
      </c>
      <c r="G1702" s="1415">
        <v>0.98625253419533498</v>
      </c>
    </row>
    <row r="1703" spans="1:7" x14ac:dyDescent="0.3">
      <c r="A1703" s="6" t="s">
        <v>1023</v>
      </c>
      <c r="B1703" s="6" t="s">
        <v>1107</v>
      </c>
      <c r="C1703" s="1408">
        <v>101</v>
      </c>
      <c r="D1703" s="1408">
        <v>31838.175973564801</v>
      </c>
      <c r="E1703" s="1409">
        <v>5915.9575796111003</v>
      </c>
      <c r="F1703" s="1410">
        <v>5.5656021066408403</v>
      </c>
      <c r="G1703" s="1411">
        <v>0.98625253419532999</v>
      </c>
    </row>
    <row r="1704" spans="1:7" x14ac:dyDescent="0.3">
      <c r="A1704" s="11" t="s">
        <v>1019</v>
      </c>
      <c r="B1704" s="11" t="s">
        <v>1020</v>
      </c>
      <c r="C1704" s="1412">
        <v>702</v>
      </c>
      <c r="D1704" s="1412">
        <v>245458.80982943301</v>
      </c>
      <c r="E1704" s="1413">
        <v>15640.7489118016</v>
      </c>
      <c r="F1704" s="1414">
        <v>99.979018881866693</v>
      </c>
      <c r="G1704" s="1415">
        <v>2.0709378602835199E-2</v>
      </c>
    </row>
    <row r="1705" spans="1:7" x14ac:dyDescent="0.3">
      <c r="A1705" s="6" t="s">
        <v>1015</v>
      </c>
      <c r="B1705" s="6" t="s">
        <v>1092</v>
      </c>
      <c r="C1705" s="1408">
        <v>1</v>
      </c>
      <c r="D1705" s="1408">
        <v>51.510810402853302</v>
      </c>
      <c r="E1705" s="1409">
        <v>50.841889852909098</v>
      </c>
      <c r="F1705" s="1410">
        <v>2.0981118133286101E-2</v>
      </c>
      <c r="G1705" s="1411">
        <v>2.07093786028354E-2</v>
      </c>
    </row>
    <row r="1706" spans="1:7" x14ac:dyDescent="0.3">
      <c r="A1706" s="11" t="s">
        <v>6354</v>
      </c>
      <c r="B1706" s="11" t="s">
        <v>6355</v>
      </c>
      <c r="C1706" s="1412">
        <v>1571</v>
      </c>
      <c r="D1706" s="1412">
        <v>572052.67936016503</v>
      </c>
      <c r="E1706" s="1413">
        <v>15671.6325231802</v>
      </c>
      <c r="F1706" s="1414">
        <v>69.970470698914298</v>
      </c>
      <c r="G1706" s="1415">
        <v>1.9168715466795001</v>
      </c>
    </row>
    <row r="1707" spans="1:7" x14ac:dyDescent="0.3">
      <c r="A1707" s="6" t="s">
        <v>6354</v>
      </c>
      <c r="B1707" s="6" t="s">
        <v>6356</v>
      </c>
      <c r="C1707" s="1408">
        <v>2274</v>
      </c>
      <c r="D1707" s="1408">
        <v>817563.00000000105</v>
      </c>
      <c r="E1707" s="1409">
        <v>0</v>
      </c>
      <c r="F1707" s="1410">
        <v>100</v>
      </c>
      <c r="G1707" s="1411">
        <v>0</v>
      </c>
    </row>
    <row r="1708" spans="1:7" x14ac:dyDescent="0.3">
      <c r="A1708" s="3449" t="s">
        <v>139</v>
      </c>
      <c r="B1708" s="3450"/>
      <c r="C1708" s="3450"/>
      <c r="D1708" s="3450"/>
      <c r="E1708" s="3450"/>
      <c r="F1708" s="3450"/>
      <c r="G1708" s="3450"/>
    </row>
    <row r="1709" spans="1:7" x14ac:dyDescent="0.3">
      <c r="A1709" s="11" t="s">
        <v>1219</v>
      </c>
      <c r="B1709" s="11"/>
      <c r="C1709" s="1420">
        <v>963</v>
      </c>
      <c r="D1709" s="1420">
        <v>322383.40943259402</v>
      </c>
      <c r="E1709" s="1421">
        <v>9663.7985380750397</v>
      </c>
      <c r="F1709" s="1422">
        <v>51.086077330676197</v>
      </c>
      <c r="G1709" s="1423">
        <v>1.53011751801739</v>
      </c>
    </row>
    <row r="1710" spans="1:7" x14ac:dyDescent="0.3">
      <c r="A1710" s="6" t="s">
        <v>6357</v>
      </c>
      <c r="B1710" s="6"/>
      <c r="C1710" s="1416">
        <v>251</v>
      </c>
      <c r="D1710" s="1416">
        <v>86308.462085411302</v>
      </c>
      <c r="E1710" s="1417">
        <v>3767.8213668572498</v>
      </c>
      <c r="F1710" s="1418">
        <v>13.676760774220201</v>
      </c>
      <c r="G1710" s="1419">
        <v>0.60852970229304704</v>
      </c>
    </row>
    <row r="1711" spans="1:7" x14ac:dyDescent="0.3">
      <c r="A1711" s="11" t="s">
        <v>6359</v>
      </c>
      <c r="B1711" s="11"/>
      <c r="C1711" s="1420">
        <v>216</v>
      </c>
      <c r="D1711" s="1420">
        <v>62902.368444829401</v>
      </c>
      <c r="E1711" s="1421">
        <v>4961.72047771704</v>
      </c>
      <c r="F1711" s="1422">
        <v>9.9677438870412107</v>
      </c>
      <c r="G1711" s="1423">
        <v>0.81789015843090995</v>
      </c>
    </row>
    <row r="1712" spans="1:7" x14ac:dyDescent="0.3">
      <c r="A1712" s="6" t="s">
        <v>6358</v>
      </c>
      <c r="B1712" s="6"/>
      <c r="C1712" s="1416">
        <v>143</v>
      </c>
      <c r="D1712" s="1416">
        <v>50500.517358737801</v>
      </c>
      <c r="E1712" s="1417">
        <v>6089.4431814624104</v>
      </c>
      <c r="F1712" s="1418">
        <v>8.0025003134258696</v>
      </c>
      <c r="G1712" s="1419">
        <v>0.94225852947626398</v>
      </c>
    </row>
    <row r="1713" spans="1:7" x14ac:dyDescent="0.3">
      <c r="A1713" s="11" t="s">
        <v>6361</v>
      </c>
      <c r="B1713" s="11"/>
      <c r="C1713" s="1420">
        <v>101</v>
      </c>
      <c r="D1713" s="1420">
        <v>29312.658422943899</v>
      </c>
      <c r="E1713" s="1421">
        <v>3665.7928659690601</v>
      </c>
      <c r="F1713" s="1422">
        <v>4.6449931700822003</v>
      </c>
      <c r="G1713" s="1423">
        <v>0.60129420845857595</v>
      </c>
    </row>
    <row r="1714" spans="1:7" x14ac:dyDescent="0.3">
      <c r="A1714" s="6" t="s">
        <v>1063</v>
      </c>
      <c r="B1714" s="6"/>
      <c r="C1714" s="1416">
        <v>69</v>
      </c>
      <c r="D1714" s="1416">
        <v>23416.956542823998</v>
      </c>
      <c r="E1714" s="1417">
        <v>4863.7867385526397</v>
      </c>
      <c r="F1714" s="1418">
        <v>3.7107382631795098</v>
      </c>
      <c r="G1714" s="1419">
        <v>0.76126230753018098</v>
      </c>
    </row>
    <row r="1715" spans="1:7" x14ac:dyDescent="0.3">
      <c r="A1715" s="11" t="s">
        <v>6360</v>
      </c>
      <c r="B1715" s="11"/>
      <c r="C1715" s="1420">
        <v>83</v>
      </c>
      <c r="D1715" s="1420">
        <v>22810.831201071898</v>
      </c>
      <c r="E1715" s="1421">
        <v>4505.0300849445102</v>
      </c>
      <c r="F1715" s="1422">
        <v>3.61468938108806</v>
      </c>
      <c r="G1715" s="1423">
        <v>0.71429089998409001</v>
      </c>
    </row>
    <row r="1716" spans="1:7" x14ac:dyDescent="0.3">
      <c r="A1716" s="6" t="s">
        <v>6362</v>
      </c>
      <c r="B1716" s="6"/>
      <c r="C1716" s="1416">
        <v>35</v>
      </c>
      <c r="D1716" s="1416">
        <v>10619.184414069599</v>
      </c>
      <c r="E1716" s="1417">
        <v>3412.1811467822499</v>
      </c>
      <c r="F1716" s="1418">
        <v>1.68275556462623</v>
      </c>
      <c r="G1716" s="1419">
        <v>0.53349596062250004</v>
      </c>
    </row>
    <row r="1717" spans="1:7" x14ac:dyDescent="0.3">
      <c r="A1717" s="11" t="s">
        <v>1222</v>
      </c>
      <c r="B1717" s="11"/>
      <c r="C1717" s="1420">
        <v>16</v>
      </c>
      <c r="D1717" s="1420">
        <v>3838.4863975747098</v>
      </c>
      <c r="E1717" s="1421">
        <v>2081.94949757825</v>
      </c>
      <c r="F1717" s="1422">
        <v>0.60826086951676905</v>
      </c>
      <c r="G1717" s="1423">
        <v>0.33129897389344098</v>
      </c>
    </row>
    <row r="1718" spans="1:7" x14ac:dyDescent="0.3">
      <c r="A1718" s="6" t="s">
        <v>1079</v>
      </c>
      <c r="B1718" s="6"/>
      <c r="C1718" s="1416">
        <v>2</v>
      </c>
      <c r="D1718" s="1416">
        <v>3742.51708771331</v>
      </c>
      <c r="E1718" s="1417">
        <v>3776.9253680747702</v>
      </c>
      <c r="F1718" s="1418">
        <v>0.59305321477554096</v>
      </c>
      <c r="G1718" s="1419">
        <v>0.59881340772771696</v>
      </c>
    </row>
    <row r="1719" spans="1:7" x14ac:dyDescent="0.3">
      <c r="A1719" s="11" t="s">
        <v>1067</v>
      </c>
      <c r="B1719" s="11"/>
      <c r="C1719" s="1420">
        <v>9</v>
      </c>
      <c r="D1719" s="1420">
        <v>3436.7389053616798</v>
      </c>
      <c r="E1719" s="1421">
        <v>1545.44312881824</v>
      </c>
      <c r="F1719" s="1422">
        <v>0.54459846365437603</v>
      </c>
      <c r="G1719" s="1423">
        <v>0.245464025813074</v>
      </c>
    </row>
    <row r="1720" spans="1:7" x14ac:dyDescent="0.3">
      <c r="A1720" s="6" t="s">
        <v>1073</v>
      </c>
      <c r="B1720" s="6"/>
      <c r="C1720" s="1416">
        <v>12</v>
      </c>
      <c r="D1720" s="1416">
        <v>3333.58921493756</v>
      </c>
      <c r="E1720" s="1417">
        <v>1199.04878821392</v>
      </c>
      <c r="F1720" s="1418">
        <v>0.52825297903121704</v>
      </c>
      <c r="G1720" s="1419">
        <v>0.18934575390737399</v>
      </c>
    </row>
    <row r="1721" spans="1:7" x14ac:dyDescent="0.3">
      <c r="A1721" s="11" t="s">
        <v>6364</v>
      </c>
      <c r="B1721" s="11"/>
      <c r="C1721" s="1420">
        <v>10</v>
      </c>
      <c r="D1721" s="1420">
        <v>2812.9291572682901</v>
      </c>
      <c r="E1721" s="1421">
        <v>1648.8961454866001</v>
      </c>
      <c r="F1721" s="1422">
        <v>0.44574724458321702</v>
      </c>
      <c r="G1721" s="1423">
        <v>0.26165398358025999</v>
      </c>
    </row>
    <row r="1722" spans="1:7" x14ac:dyDescent="0.3">
      <c r="A1722" s="6" t="s">
        <v>6363</v>
      </c>
      <c r="B1722" s="6"/>
      <c r="C1722" s="1416">
        <v>9</v>
      </c>
      <c r="D1722" s="1416">
        <v>2646.0662983673301</v>
      </c>
      <c r="E1722" s="1417">
        <v>1273.9379336736599</v>
      </c>
      <c r="F1722" s="1418">
        <v>0.41930553367620799</v>
      </c>
      <c r="G1722" s="1419">
        <v>0.20016044582922801</v>
      </c>
    </row>
    <row r="1723" spans="1:7" x14ac:dyDescent="0.3">
      <c r="A1723" s="11" t="s">
        <v>1065</v>
      </c>
      <c r="B1723" s="11"/>
      <c r="C1723" s="1420">
        <v>3</v>
      </c>
      <c r="D1723" s="1420">
        <v>986.71555141188401</v>
      </c>
      <c r="E1723" s="1421">
        <v>975.28974541920195</v>
      </c>
      <c r="F1723" s="1422">
        <v>0.15635862605810599</v>
      </c>
      <c r="G1723" s="1423">
        <v>0.15473529149784199</v>
      </c>
    </row>
    <row r="1724" spans="1:7" x14ac:dyDescent="0.3">
      <c r="A1724" s="6" t="s">
        <v>3099</v>
      </c>
      <c r="B1724" s="6"/>
      <c r="C1724" s="1416">
        <v>3</v>
      </c>
      <c r="D1724" s="1416">
        <v>781.07649443688501</v>
      </c>
      <c r="E1724" s="1417">
        <v>624.46121736793498</v>
      </c>
      <c r="F1724" s="1418">
        <v>0.123772294195304</v>
      </c>
      <c r="G1724" s="1419">
        <v>9.8859984784359006E-2</v>
      </c>
    </row>
    <row r="1725" spans="1:7" x14ac:dyDescent="0.3">
      <c r="A1725" s="11" t="s">
        <v>1224</v>
      </c>
      <c r="B1725" s="11"/>
      <c r="C1725" s="1420">
        <v>3</v>
      </c>
      <c r="D1725" s="1420">
        <v>339.35195657041697</v>
      </c>
      <c r="E1725" s="1421">
        <v>212.05840805669399</v>
      </c>
      <c r="F1725" s="1422">
        <v>5.3774976591335302E-2</v>
      </c>
      <c r="G1725" s="1423">
        <v>3.3487409400979301E-2</v>
      </c>
    </row>
    <row r="1726" spans="1:7" x14ac:dyDescent="0.3">
      <c r="A1726" s="6" t="s">
        <v>6365</v>
      </c>
      <c r="B1726" s="6"/>
      <c r="C1726" s="1416">
        <v>3</v>
      </c>
      <c r="D1726" s="1416">
        <v>300.65345808743001</v>
      </c>
      <c r="E1726" s="1417">
        <v>229.91096888695199</v>
      </c>
      <c r="F1726" s="1418">
        <v>4.76426682025059E-2</v>
      </c>
      <c r="G1726" s="1419">
        <v>3.6413716873401197E-2</v>
      </c>
    </row>
    <row r="1727" spans="1:7" x14ac:dyDescent="0.3">
      <c r="A1727" s="11" t="s">
        <v>1069</v>
      </c>
      <c r="B1727" s="11"/>
      <c r="C1727" s="1420">
        <v>1</v>
      </c>
      <c r="D1727" s="1420">
        <v>198.57292215874801</v>
      </c>
      <c r="E1727" s="1421">
        <v>221.88135917370599</v>
      </c>
      <c r="F1727" s="1422">
        <v>3.1466605787917198E-2</v>
      </c>
      <c r="G1727" s="1423">
        <v>3.5143526040014098E-2</v>
      </c>
    </row>
    <row r="1728" spans="1:7" x14ac:dyDescent="0.3">
      <c r="A1728" s="6" t="s">
        <v>1118</v>
      </c>
      <c r="B1728" s="6"/>
      <c r="C1728" s="1416">
        <v>1</v>
      </c>
      <c r="D1728" s="1416">
        <v>133.336394927664</v>
      </c>
      <c r="E1728" s="1417">
        <v>131.874806909108</v>
      </c>
      <c r="F1728" s="1418">
        <v>2.1128982394773201E-2</v>
      </c>
      <c r="G1728" s="1419">
        <v>2.0900380774677398E-2</v>
      </c>
    </row>
    <row r="1729" spans="1:7" x14ac:dyDescent="0.3">
      <c r="A1729" s="11" t="s">
        <v>1114</v>
      </c>
      <c r="B1729" s="11"/>
      <c r="C1729" s="1420">
        <v>2</v>
      </c>
      <c r="D1729" s="1420">
        <v>118.04952781867</v>
      </c>
      <c r="E1729" s="1421">
        <v>124.292038149701</v>
      </c>
      <c r="F1729" s="1422">
        <v>1.8706568423011102E-2</v>
      </c>
      <c r="G1729" s="1423">
        <v>1.9719153596313599E-2</v>
      </c>
    </row>
    <row r="1730" spans="1:7" x14ac:dyDescent="0.3">
      <c r="A1730" s="6" t="s">
        <v>1077</v>
      </c>
      <c r="B1730" s="6"/>
      <c r="C1730" s="1416">
        <v>1</v>
      </c>
      <c r="D1730" s="1416">
        <v>82.551425400698804</v>
      </c>
      <c r="E1730" s="1417">
        <v>89.852948450285098</v>
      </c>
      <c r="F1730" s="1418">
        <v>1.30814067299559E-2</v>
      </c>
      <c r="G1730" s="1419">
        <v>1.4222779729928799E-2</v>
      </c>
    </row>
    <row r="1731" spans="1:7" x14ac:dyDescent="0.3">
      <c r="A1731" s="11" t="s">
        <v>1238</v>
      </c>
      <c r="B1731" s="11"/>
      <c r="C1731" s="1420">
        <v>1</v>
      </c>
      <c r="D1731" s="1420">
        <v>54.213554590864099</v>
      </c>
      <c r="E1731" s="1421">
        <v>57.380628852356402</v>
      </c>
      <c r="F1731" s="1422">
        <v>8.5908820403451901E-3</v>
      </c>
      <c r="G1731" s="1423">
        <v>9.0940725752086601E-3</v>
      </c>
    </row>
    <row r="1732" spans="1:7" x14ac:dyDescent="0.3">
      <c r="A1732" s="6" t="s">
        <v>1019</v>
      </c>
      <c r="B1732" s="6" t="s">
        <v>1020</v>
      </c>
      <c r="C1732" s="1416">
        <v>332</v>
      </c>
      <c r="D1732" s="1416">
        <v>184246.61443761599</v>
      </c>
      <c r="E1732" s="1417">
        <v>3576.9196156644798</v>
      </c>
      <c r="F1732" s="1418">
        <v>98.789756695585794</v>
      </c>
      <c r="G1732" s="1419">
        <v>0.73741565271890097</v>
      </c>
    </row>
    <row r="1733" spans="1:7" x14ac:dyDescent="0.3">
      <c r="A1733" s="11" t="s">
        <v>1017</v>
      </c>
      <c r="B1733" s="11" t="s">
        <v>1086</v>
      </c>
      <c r="C1733" s="1420">
        <v>2</v>
      </c>
      <c r="D1733" s="1420">
        <v>1583.8225427690099</v>
      </c>
      <c r="E1733" s="1421">
        <v>1438.62409685487</v>
      </c>
      <c r="F1733" s="1422">
        <v>0.84921746935063203</v>
      </c>
      <c r="G1733" s="1423">
        <v>0.76359038398050305</v>
      </c>
    </row>
    <row r="1734" spans="1:7" x14ac:dyDescent="0.3">
      <c r="A1734" s="6" t="s">
        <v>1015</v>
      </c>
      <c r="B1734" s="6" t="s">
        <v>1092</v>
      </c>
      <c r="C1734" s="1416">
        <v>2</v>
      </c>
      <c r="D1734" s="1416">
        <v>673.32677050671498</v>
      </c>
      <c r="E1734" s="1417">
        <v>639.46431446827603</v>
      </c>
      <c r="F1734" s="1418">
        <v>0.36102583506360703</v>
      </c>
      <c r="G1734" s="1419">
        <v>0.34156477399071</v>
      </c>
    </row>
    <row r="1735" spans="1:7" x14ac:dyDescent="0.3">
      <c r="A1735" s="11" t="s">
        <v>6354</v>
      </c>
      <c r="B1735" s="11" t="s">
        <v>6355</v>
      </c>
      <c r="C1735" s="1420">
        <v>1937</v>
      </c>
      <c r="D1735" s="1420">
        <v>631059.23624910798</v>
      </c>
      <c r="E1735" s="1421">
        <v>3744.7747061161899</v>
      </c>
      <c r="F1735" s="1422">
        <v>77.187841946016107</v>
      </c>
      <c r="G1735" s="1423">
        <v>0.45804111806868397</v>
      </c>
    </row>
    <row r="1736" spans="1:7" x14ac:dyDescent="0.3">
      <c r="A1736" s="6" t="s">
        <v>6354</v>
      </c>
      <c r="B1736" s="6" t="s">
        <v>6356</v>
      </c>
      <c r="C1736" s="1416">
        <v>2273</v>
      </c>
      <c r="D1736" s="1416">
        <v>817563</v>
      </c>
      <c r="E1736" s="1417">
        <v>0</v>
      </c>
      <c r="F1736" s="1418">
        <v>100</v>
      </c>
      <c r="G1736" s="1419">
        <v>0</v>
      </c>
    </row>
    <row r="1737" spans="1:7" x14ac:dyDescent="0.3">
      <c r="A1737" s="3449" t="s">
        <v>426</v>
      </c>
      <c r="B1737" s="3450"/>
      <c r="C1737" s="3450"/>
      <c r="D1737" s="3450"/>
      <c r="E1737" s="3450"/>
      <c r="F1737" s="3450"/>
      <c r="G1737" s="3450"/>
    </row>
    <row r="1738" spans="1:7" x14ac:dyDescent="0.3">
      <c r="A1738" s="11" t="s">
        <v>1023</v>
      </c>
      <c r="B1738" s="11" t="s">
        <v>1107</v>
      </c>
      <c r="C1738" s="1428">
        <v>1959</v>
      </c>
      <c r="D1738" s="1428">
        <v>695838.44020031695</v>
      </c>
      <c r="E1738" s="1429">
        <v>3747.2972682066902</v>
      </c>
      <c r="F1738" s="1430">
        <v>91.675414578816799</v>
      </c>
      <c r="G1738" s="1431">
        <v>0.49370032440947198</v>
      </c>
    </row>
    <row r="1739" spans="1:7" x14ac:dyDescent="0.3">
      <c r="A1739" s="6" t="s">
        <v>1021</v>
      </c>
      <c r="B1739" s="6" t="s">
        <v>1106</v>
      </c>
      <c r="C1739" s="1424">
        <v>222</v>
      </c>
      <c r="D1739" s="1424">
        <v>63185.605010930303</v>
      </c>
      <c r="E1739" s="1425">
        <v>3747.3046060859001</v>
      </c>
      <c r="F1739" s="1426">
        <v>8.3245854211831691</v>
      </c>
      <c r="G1739" s="1427">
        <v>0.49370032440946898</v>
      </c>
    </row>
    <row r="1740" spans="1:7" x14ac:dyDescent="0.3">
      <c r="A1740" s="11" t="s">
        <v>1019</v>
      </c>
      <c r="B1740" s="11"/>
      <c r="C1740" s="1428">
        <v>93</v>
      </c>
      <c r="D1740" s="1428">
        <v>58538.954788752002</v>
      </c>
      <c r="E1740" s="1429">
        <v>0.34436598578877903</v>
      </c>
      <c r="F1740" s="1430">
        <v>100</v>
      </c>
      <c r="G1740" s="1431">
        <v>0</v>
      </c>
    </row>
    <row r="1741" spans="1:7" x14ac:dyDescent="0.3">
      <c r="A1741" s="6" t="s">
        <v>6354</v>
      </c>
      <c r="B1741" s="6" t="s">
        <v>6355</v>
      </c>
      <c r="C1741" s="1424">
        <v>2181</v>
      </c>
      <c r="D1741" s="1424">
        <v>759024.04521124705</v>
      </c>
      <c r="E1741" s="1425">
        <v>0.34436597320088302</v>
      </c>
      <c r="F1741" s="1426">
        <v>92.8398233789014</v>
      </c>
      <c r="G1741" s="1427">
        <v>4.2121033532578202E-5</v>
      </c>
    </row>
    <row r="1742" spans="1:7" x14ac:dyDescent="0.3">
      <c r="A1742" s="11" t="s">
        <v>6354</v>
      </c>
      <c r="B1742" s="11" t="s">
        <v>6356</v>
      </c>
      <c r="C1742" s="1428">
        <v>2274</v>
      </c>
      <c r="D1742" s="1428">
        <v>817562.99999999895</v>
      </c>
      <c r="E1742" s="1429">
        <v>0</v>
      </c>
      <c r="F1742" s="1430">
        <v>100</v>
      </c>
      <c r="G1742" s="1431">
        <v>0</v>
      </c>
    </row>
    <row r="1743" spans="1:7" x14ac:dyDescent="0.3">
      <c r="A1743" s="3449" t="s">
        <v>429</v>
      </c>
      <c r="B1743" s="3450"/>
      <c r="C1743" s="3450"/>
      <c r="D1743" s="3450"/>
      <c r="E1743" s="3450"/>
      <c r="F1743" s="3450"/>
      <c r="G1743" s="3450"/>
    </row>
    <row r="1744" spans="1:7" x14ac:dyDescent="0.3">
      <c r="A1744" s="11" t="s">
        <v>1023</v>
      </c>
      <c r="B1744" s="11" t="s">
        <v>3311</v>
      </c>
      <c r="C1744" s="1436">
        <v>192</v>
      </c>
      <c r="D1744" s="1436">
        <v>54845.6029426557</v>
      </c>
      <c r="E1744" s="1437">
        <v>4784.2253381822802</v>
      </c>
      <c r="F1744" s="1438">
        <v>86.9170186415502</v>
      </c>
      <c r="G1744" s="1439">
        <v>4.2736423105636998</v>
      </c>
    </row>
    <row r="1745" spans="1:7" x14ac:dyDescent="0.3">
      <c r="A1745" s="6" t="s">
        <v>1021</v>
      </c>
      <c r="B1745" s="6" t="s">
        <v>3310</v>
      </c>
      <c r="C1745" s="1432">
        <v>14</v>
      </c>
      <c r="D1745" s="1432">
        <v>4307.8093757900197</v>
      </c>
      <c r="E1745" s="1433">
        <v>1862.75359421947</v>
      </c>
      <c r="F1745" s="1434">
        <v>6.8268362043765896</v>
      </c>
      <c r="G1745" s="1435">
        <v>2.9816870703040799</v>
      </c>
    </row>
    <row r="1746" spans="1:7" x14ac:dyDescent="0.3">
      <c r="A1746" s="11" t="s">
        <v>1025</v>
      </c>
      <c r="B1746" s="11" t="s">
        <v>3312</v>
      </c>
      <c r="C1746" s="1436">
        <v>15</v>
      </c>
      <c r="D1746" s="1436">
        <v>3947.6969923113702</v>
      </c>
      <c r="E1746" s="1437">
        <v>2059.0316719062998</v>
      </c>
      <c r="F1746" s="1438">
        <v>6.2561451540732103</v>
      </c>
      <c r="G1746" s="1439">
        <v>3.3458306039033601</v>
      </c>
    </row>
    <row r="1747" spans="1:7" x14ac:dyDescent="0.3">
      <c r="A1747" s="6" t="s">
        <v>1019</v>
      </c>
      <c r="B1747" s="6" t="s">
        <v>1020</v>
      </c>
      <c r="C1747" s="1432">
        <v>2052</v>
      </c>
      <c r="D1747" s="1432">
        <v>754377.39498906897</v>
      </c>
      <c r="E1747" s="1433">
        <v>3747.3046060859301</v>
      </c>
      <c r="F1747" s="1434">
        <v>99.988800534365495</v>
      </c>
      <c r="G1747" s="1435">
        <v>1.1164852061024E-2</v>
      </c>
    </row>
    <row r="1748" spans="1:7" x14ac:dyDescent="0.3">
      <c r="A1748" s="11" t="s">
        <v>1015</v>
      </c>
      <c r="B1748" s="11" t="s">
        <v>1016</v>
      </c>
      <c r="C1748" s="1436">
        <v>1</v>
      </c>
      <c r="D1748" s="1436">
        <v>84.495700173172906</v>
      </c>
      <c r="E1748" s="1437">
        <v>84.216615020470698</v>
      </c>
      <c r="F1748" s="1438">
        <v>1.11994656345043E-2</v>
      </c>
      <c r="G1748" s="1439">
        <v>1.11648520610213E-2</v>
      </c>
    </row>
    <row r="1749" spans="1:7" x14ac:dyDescent="0.3">
      <c r="A1749" s="6" t="s">
        <v>6354</v>
      </c>
      <c r="B1749" s="6" t="s">
        <v>6355</v>
      </c>
      <c r="C1749" s="1432">
        <v>221</v>
      </c>
      <c r="D1749" s="1432">
        <v>63101.1093107571</v>
      </c>
      <c r="E1749" s="1433">
        <v>3733.6267365141998</v>
      </c>
      <c r="F1749" s="1434">
        <v>7.7181953330516704</v>
      </c>
      <c r="G1749" s="1435">
        <v>0.456677557144121</v>
      </c>
    </row>
    <row r="1750" spans="1:7" x14ac:dyDescent="0.3">
      <c r="A1750" s="11" t="s">
        <v>6354</v>
      </c>
      <c r="B1750" s="11" t="s">
        <v>6356</v>
      </c>
      <c r="C1750" s="1436">
        <v>2274</v>
      </c>
      <c r="D1750" s="1436">
        <v>817562.99999999895</v>
      </c>
      <c r="E1750" s="1437">
        <v>0</v>
      </c>
      <c r="F1750" s="1438">
        <v>100</v>
      </c>
      <c r="G1750" s="1439">
        <v>0</v>
      </c>
    </row>
    <row r="1751" spans="1:7" x14ac:dyDescent="0.3">
      <c r="A1751" s="3449" t="s">
        <v>228</v>
      </c>
      <c r="B1751" s="3450"/>
      <c r="C1751" s="3450"/>
      <c r="D1751" s="3450"/>
      <c r="E1751" s="3450"/>
      <c r="F1751" s="3450"/>
      <c r="G1751" s="3450"/>
    </row>
    <row r="1752" spans="1:7" x14ac:dyDescent="0.3">
      <c r="A1752" s="11" t="s">
        <v>1023</v>
      </c>
      <c r="B1752" s="11" t="s">
        <v>1256</v>
      </c>
      <c r="C1752" s="1444">
        <v>748</v>
      </c>
      <c r="D1752" s="1444">
        <v>272905.212159405</v>
      </c>
      <c r="E1752" s="1445">
        <v>14422.6458910126</v>
      </c>
      <c r="F1752" s="1446">
        <v>36.078698805901404</v>
      </c>
      <c r="G1752" s="1447">
        <v>1.9956060830982101</v>
      </c>
    </row>
    <row r="1753" spans="1:7" x14ac:dyDescent="0.3">
      <c r="A1753" s="6" t="s">
        <v>1021</v>
      </c>
      <c r="B1753" s="6" t="s">
        <v>1255</v>
      </c>
      <c r="C1753" s="1440">
        <v>583</v>
      </c>
      <c r="D1753" s="1440">
        <v>227394.38009009699</v>
      </c>
      <c r="E1753" s="1441">
        <v>19459.838586113499</v>
      </c>
      <c r="F1753" s="1442">
        <v>30.062061785149201</v>
      </c>
      <c r="G1753" s="1443">
        <v>2.48838362322142</v>
      </c>
    </row>
    <row r="1754" spans="1:7" x14ac:dyDescent="0.3">
      <c r="A1754" s="11" t="s">
        <v>1025</v>
      </c>
      <c r="B1754" s="11" t="s">
        <v>1257</v>
      </c>
      <c r="C1754" s="1444">
        <v>588</v>
      </c>
      <c r="D1754" s="1444">
        <v>187710.21574737801</v>
      </c>
      <c r="E1754" s="1445">
        <v>11223.052576893901</v>
      </c>
      <c r="F1754" s="1446">
        <v>24.815723683520801</v>
      </c>
      <c r="G1754" s="1447">
        <v>1.47223997246044</v>
      </c>
    </row>
    <row r="1755" spans="1:7" x14ac:dyDescent="0.3">
      <c r="A1755" s="6" t="s">
        <v>1027</v>
      </c>
      <c r="B1755" s="6" t="s">
        <v>1258</v>
      </c>
      <c r="C1755" s="1440">
        <v>213</v>
      </c>
      <c r="D1755" s="1440">
        <v>56749.587903171101</v>
      </c>
      <c r="E1755" s="1441">
        <v>7965.3172565447703</v>
      </c>
      <c r="F1755" s="1442">
        <v>7.50242647663912</v>
      </c>
      <c r="G1755" s="1443">
        <v>1.0657691392392801</v>
      </c>
    </row>
    <row r="1756" spans="1:7" x14ac:dyDescent="0.3">
      <c r="A1756" s="11" t="s">
        <v>1029</v>
      </c>
      <c r="B1756" s="11" t="s">
        <v>1259</v>
      </c>
      <c r="C1756" s="1444">
        <v>45</v>
      </c>
      <c r="D1756" s="1444">
        <v>11657.052563345</v>
      </c>
      <c r="E1756" s="1445">
        <v>2618.3909159641098</v>
      </c>
      <c r="F1756" s="1446">
        <v>1.54108924878953</v>
      </c>
      <c r="G1756" s="1447">
        <v>0.34585781462124798</v>
      </c>
    </row>
    <row r="1757" spans="1:7" x14ac:dyDescent="0.3">
      <c r="A1757" s="6" t="s">
        <v>1019</v>
      </c>
      <c r="B1757" s="6"/>
      <c r="C1757" s="1440">
        <v>93</v>
      </c>
      <c r="D1757" s="1440">
        <v>58538.954788752002</v>
      </c>
      <c r="E1757" s="1441">
        <v>0.34436598578877903</v>
      </c>
      <c r="F1757" s="1442">
        <v>95.735496635012794</v>
      </c>
      <c r="G1757" s="1443">
        <v>4.1905239420299498</v>
      </c>
    </row>
    <row r="1758" spans="1:7" x14ac:dyDescent="0.3">
      <c r="A1758" s="11" t="s">
        <v>1017</v>
      </c>
      <c r="B1758" s="11" t="s">
        <v>1086</v>
      </c>
      <c r="C1758" s="1444">
        <v>4</v>
      </c>
      <c r="D1758" s="1444">
        <v>2607.5967478521202</v>
      </c>
      <c r="E1758" s="1445">
        <v>2597.0490696275201</v>
      </c>
      <c r="F1758" s="1446">
        <v>4.2645033649872097</v>
      </c>
      <c r="G1758" s="1447">
        <v>4.1905239420299401</v>
      </c>
    </row>
    <row r="1759" spans="1:7" x14ac:dyDescent="0.3">
      <c r="A1759" s="6" t="s">
        <v>6354</v>
      </c>
      <c r="B1759" s="6" t="s">
        <v>6355</v>
      </c>
      <c r="C1759" s="1440">
        <v>2177</v>
      </c>
      <c r="D1759" s="1440">
        <v>756416.44846339605</v>
      </c>
      <c r="E1759" s="1441">
        <v>2597.0552705554801</v>
      </c>
      <c r="F1759" s="1442">
        <v>92.520875879093794</v>
      </c>
      <c r="G1759" s="1443">
        <v>0.31765812182744402</v>
      </c>
    </row>
    <row r="1760" spans="1:7" x14ac:dyDescent="0.3">
      <c r="A1760" s="11" t="s">
        <v>6354</v>
      </c>
      <c r="B1760" s="11" t="s">
        <v>6356</v>
      </c>
      <c r="C1760" s="1444">
        <v>2274</v>
      </c>
      <c r="D1760" s="1444">
        <v>817563</v>
      </c>
      <c r="E1760" s="1445">
        <v>0</v>
      </c>
      <c r="F1760" s="1446">
        <v>100</v>
      </c>
      <c r="G1760" s="1447">
        <v>0</v>
      </c>
    </row>
    <row r="1761" spans="1:7" x14ac:dyDescent="0.3">
      <c r="A1761" s="3449" t="s">
        <v>529</v>
      </c>
      <c r="B1761" s="3450"/>
      <c r="C1761" s="3450"/>
      <c r="D1761" s="3450"/>
      <c r="E1761" s="3450"/>
      <c r="F1761" s="3450"/>
      <c r="G1761" s="3450"/>
    </row>
    <row r="1762" spans="1:7" x14ac:dyDescent="0.3">
      <c r="A1762" s="11" t="s">
        <v>1023</v>
      </c>
      <c r="B1762" s="11" t="s">
        <v>6053</v>
      </c>
      <c r="C1762" s="1452">
        <v>1360</v>
      </c>
      <c r="D1762" s="1452">
        <v>463265.01569710899</v>
      </c>
      <c r="E1762" s="1453">
        <v>13107.5100631682</v>
      </c>
      <c r="F1762" s="1454">
        <v>61.290072345328298</v>
      </c>
      <c r="G1762" s="1455">
        <v>1.6507723351661301</v>
      </c>
    </row>
    <row r="1763" spans="1:7" x14ac:dyDescent="0.3">
      <c r="A1763" s="6" t="s">
        <v>1025</v>
      </c>
      <c r="B1763" s="6" t="s">
        <v>6054</v>
      </c>
      <c r="C1763" s="1448">
        <v>531</v>
      </c>
      <c r="D1763" s="1448">
        <v>190218.37024538699</v>
      </c>
      <c r="E1763" s="1449">
        <v>8365.5041521073108</v>
      </c>
      <c r="F1763" s="1450">
        <v>25.165935865471699</v>
      </c>
      <c r="G1763" s="1451">
        <v>1.14551861865653</v>
      </c>
    </row>
    <row r="1764" spans="1:7" x14ac:dyDescent="0.3">
      <c r="A1764" s="11" t="s">
        <v>1021</v>
      </c>
      <c r="B1764" s="11" t="s">
        <v>6052</v>
      </c>
      <c r="C1764" s="1452">
        <v>283</v>
      </c>
      <c r="D1764" s="1452">
        <v>102373.146722244</v>
      </c>
      <c r="E1764" s="1453">
        <v>7146.0245935008497</v>
      </c>
      <c r="F1764" s="1454">
        <v>13.5439917892</v>
      </c>
      <c r="G1764" s="1455">
        <v>0.94686251326485305</v>
      </c>
    </row>
    <row r="1765" spans="1:7" x14ac:dyDescent="0.3">
      <c r="A1765" s="6" t="s">
        <v>1019</v>
      </c>
      <c r="B1765" s="6"/>
      <c r="C1765" s="1448">
        <v>93</v>
      </c>
      <c r="D1765" s="1448">
        <v>58538.954788752002</v>
      </c>
      <c r="E1765" s="1449">
        <v>0.34436598578877903</v>
      </c>
      <c r="F1765" s="1450">
        <v>94.866806214495597</v>
      </c>
      <c r="G1765" s="1451">
        <v>3.90011329196853</v>
      </c>
    </row>
    <row r="1766" spans="1:7" x14ac:dyDescent="0.3">
      <c r="A1766" s="11" t="s">
        <v>1017</v>
      </c>
      <c r="B1766" s="11" t="s">
        <v>1018</v>
      </c>
      <c r="C1766" s="1452">
        <v>5</v>
      </c>
      <c r="D1766" s="1452">
        <v>2568.8443654897401</v>
      </c>
      <c r="E1766" s="1453">
        <v>2597.3357234964201</v>
      </c>
      <c r="F1766" s="1454">
        <v>4.1630066935007797</v>
      </c>
      <c r="G1766" s="1455">
        <v>4.1680874201135598</v>
      </c>
    </row>
    <row r="1767" spans="1:7" x14ac:dyDescent="0.3">
      <c r="A1767" s="6" t="s">
        <v>1015</v>
      </c>
      <c r="B1767" s="6" t="s">
        <v>1016</v>
      </c>
      <c r="C1767" s="1448">
        <v>2</v>
      </c>
      <c r="D1767" s="1448">
        <v>598.66818101814795</v>
      </c>
      <c r="E1767" s="1449">
        <v>573.90346499937596</v>
      </c>
      <c r="F1767" s="1450">
        <v>0.97018709200366304</v>
      </c>
      <c r="G1767" s="1451">
        <v>0.93035658266806398</v>
      </c>
    </row>
    <row r="1768" spans="1:7" x14ac:dyDescent="0.3">
      <c r="A1768" s="11" t="s">
        <v>6354</v>
      </c>
      <c r="B1768" s="11" t="s">
        <v>6355</v>
      </c>
      <c r="C1768" s="1452">
        <v>2174</v>
      </c>
      <c r="D1768" s="1452">
        <v>755856.53266473999</v>
      </c>
      <c r="E1768" s="1453">
        <v>2461.5926508667699</v>
      </c>
      <c r="F1768" s="1454">
        <v>92.452389927716894</v>
      </c>
      <c r="G1768" s="1455">
        <v>0.30108904767800798</v>
      </c>
    </row>
    <row r="1769" spans="1:7" x14ac:dyDescent="0.3">
      <c r="A1769" s="6" t="s">
        <v>6354</v>
      </c>
      <c r="B1769" s="6" t="s">
        <v>6356</v>
      </c>
      <c r="C1769" s="1448">
        <v>2274</v>
      </c>
      <c r="D1769" s="1448">
        <v>817563</v>
      </c>
      <c r="E1769" s="1449">
        <v>0</v>
      </c>
      <c r="F1769" s="1450">
        <v>100</v>
      </c>
      <c r="G1769" s="1451">
        <v>0</v>
      </c>
    </row>
    <row r="1770" spans="1:7" x14ac:dyDescent="0.3">
      <c r="A1770" s="3449" t="s">
        <v>885</v>
      </c>
      <c r="B1770" s="3450"/>
      <c r="C1770" s="3450"/>
      <c r="D1770" s="3450"/>
      <c r="E1770" s="3450"/>
      <c r="F1770" s="3450"/>
      <c r="G1770" s="3450"/>
    </row>
    <row r="1771" spans="1:7" x14ac:dyDescent="0.3">
      <c r="A1771" s="11" t="s">
        <v>6361</v>
      </c>
      <c r="B1771" s="11"/>
      <c r="C1771" s="1460">
        <v>143</v>
      </c>
      <c r="D1771" s="1460">
        <v>60879.832426744397</v>
      </c>
      <c r="E1771" s="1461">
        <v>6716.9301412070899</v>
      </c>
      <c r="F1771" s="1462">
        <v>32.032132426011202</v>
      </c>
      <c r="G1771" s="1463">
        <v>2.9899961415159901</v>
      </c>
    </row>
    <row r="1772" spans="1:7" x14ac:dyDescent="0.3">
      <c r="A1772" s="6" t="s">
        <v>6360</v>
      </c>
      <c r="B1772" s="6"/>
      <c r="C1772" s="1456">
        <v>90</v>
      </c>
      <c r="D1772" s="1456">
        <v>35015.089337691701</v>
      </c>
      <c r="E1772" s="1457">
        <v>2790.8793030850202</v>
      </c>
      <c r="F1772" s="1458">
        <v>18.423309228440498</v>
      </c>
      <c r="G1772" s="1459">
        <v>1.57834340009253</v>
      </c>
    </row>
    <row r="1773" spans="1:7" x14ac:dyDescent="0.3">
      <c r="A1773" s="11" t="s">
        <v>6358</v>
      </c>
      <c r="B1773" s="11"/>
      <c r="C1773" s="1460">
        <v>83</v>
      </c>
      <c r="D1773" s="1460">
        <v>28840.420469235502</v>
      </c>
      <c r="E1773" s="1461">
        <v>4294.9529869522703</v>
      </c>
      <c r="F1773" s="1462">
        <v>15.1744860468204</v>
      </c>
      <c r="G1773" s="1463">
        <v>1.8396390398463101</v>
      </c>
    </row>
    <row r="1774" spans="1:7" x14ac:dyDescent="0.3">
      <c r="A1774" s="6" t="s">
        <v>6362</v>
      </c>
      <c r="B1774" s="6"/>
      <c r="C1774" s="1456">
        <v>54</v>
      </c>
      <c r="D1774" s="1456">
        <v>18603.7756281763</v>
      </c>
      <c r="E1774" s="1457">
        <v>3859.66844012096</v>
      </c>
      <c r="F1774" s="1458">
        <v>9.7884402895261093</v>
      </c>
      <c r="G1774" s="1459">
        <v>2.1512611427413399</v>
      </c>
    </row>
    <row r="1775" spans="1:7" x14ac:dyDescent="0.3">
      <c r="A1775" s="11" t="s">
        <v>6363</v>
      </c>
      <c r="B1775" s="11"/>
      <c r="C1775" s="1460">
        <v>65</v>
      </c>
      <c r="D1775" s="1460">
        <v>15757.4261472577</v>
      </c>
      <c r="E1775" s="1461">
        <v>3632.17786985575</v>
      </c>
      <c r="F1775" s="1462">
        <v>8.2908237575949197</v>
      </c>
      <c r="G1775" s="1463">
        <v>1.8659076367402001</v>
      </c>
    </row>
    <row r="1776" spans="1:7" x14ac:dyDescent="0.3">
      <c r="A1776" s="6" t="s">
        <v>6359</v>
      </c>
      <c r="B1776" s="6"/>
      <c r="C1776" s="1456">
        <v>43</v>
      </c>
      <c r="D1776" s="1456">
        <v>14590.9183882668</v>
      </c>
      <c r="E1776" s="1457">
        <v>1951.2051929330901</v>
      </c>
      <c r="F1776" s="1458">
        <v>7.6770617033558901</v>
      </c>
      <c r="G1776" s="1459">
        <v>0.979672877770568</v>
      </c>
    </row>
    <row r="1777" spans="1:7" x14ac:dyDescent="0.3">
      <c r="A1777" s="11" t="s">
        <v>1114</v>
      </c>
      <c r="B1777" s="11"/>
      <c r="C1777" s="1460">
        <v>7</v>
      </c>
      <c r="D1777" s="1460">
        <v>4504.9427284112398</v>
      </c>
      <c r="E1777" s="1461">
        <v>3913.8933573524</v>
      </c>
      <c r="F1777" s="1462">
        <v>2.3702910519949598</v>
      </c>
      <c r="G1777" s="1463">
        <v>2.08266187775964</v>
      </c>
    </row>
    <row r="1778" spans="1:7" x14ac:dyDescent="0.3">
      <c r="A1778" s="6" t="s">
        <v>1222</v>
      </c>
      <c r="B1778" s="6"/>
      <c r="C1778" s="1456">
        <v>7</v>
      </c>
      <c r="D1778" s="1456">
        <v>4167.4089310689096</v>
      </c>
      <c r="E1778" s="1457">
        <v>4204.8533314040897</v>
      </c>
      <c r="F1778" s="1458">
        <v>2.1926964880195499</v>
      </c>
      <c r="G1778" s="1459">
        <v>2.1869419131439498</v>
      </c>
    </row>
    <row r="1779" spans="1:7" x14ac:dyDescent="0.3">
      <c r="A1779" s="11" t="s">
        <v>6357</v>
      </c>
      <c r="B1779" s="11"/>
      <c r="C1779" s="1460">
        <v>11</v>
      </c>
      <c r="D1779" s="1460">
        <v>2097.08687076257</v>
      </c>
      <c r="E1779" s="1461">
        <v>1528.0839547124899</v>
      </c>
      <c r="F1779" s="1462">
        <v>1.1033894423731401</v>
      </c>
      <c r="G1779" s="1463">
        <v>0.79618108890814399</v>
      </c>
    </row>
    <row r="1780" spans="1:7" x14ac:dyDescent="0.3">
      <c r="A1780" s="6" t="s">
        <v>1063</v>
      </c>
      <c r="B1780" s="6"/>
      <c r="C1780" s="1456">
        <v>12</v>
      </c>
      <c r="D1780" s="1456">
        <v>1830.15969253918</v>
      </c>
      <c r="E1780" s="1457">
        <v>778.05531906938495</v>
      </c>
      <c r="F1780" s="1458">
        <v>0.96294479296906998</v>
      </c>
      <c r="G1780" s="1459">
        <v>0.41185857704031897</v>
      </c>
    </row>
    <row r="1781" spans="1:7" x14ac:dyDescent="0.3">
      <c r="A1781" s="11" t="s">
        <v>1071</v>
      </c>
      <c r="B1781" s="11"/>
      <c r="C1781" s="1460">
        <v>5</v>
      </c>
      <c r="D1781" s="1460">
        <v>1011.86739770932</v>
      </c>
      <c r="E1781" s="1461">
        <v>592.39364719876096</v>
      </c>
      <c r="F1781" s="1462">
        <v>0.53239749830109095</v>
      </c>
      <c r="G1781" s="1463">
        <v>0.30387915304344498</v>
      </c>
    </row>
    <row r="1782" spans="1:7" x14ac:dyDescent="0.3">
      <c r="A1782" s="6" t="s">
        <v>1067</v>
      </c>
      <c r="B1782" s="6"/>
      <c r="C1782" s="1456">
        <v>3</v>
      </c>
      <c r="D1782" s="1456">
        <v>827.59830436762797</v>
      </c>
      <c r="E1782" s="1457">
        <v>589.95155378254503</v>
      </c>
      <c r="F1782" s="1458">
        <v>0.43544368347177798</v>
      </c>
      <c r="G1782" s="1459">
        <v>0.312319495331633</v>
      </c>
    </row>
    <row r="1783" spans="1:7" x14ac:dyDescent="0.3">
      <c r="A1783" s="11" t="s">
        <v>1073</v>
      </c>
      <c r="B1783" s="11"/>
      <c r="C1783" s="1460">
        <v>1</v>
      </c>
      <c r="D1783" s="1460">
        <v>759.62122224605605</v>
      </c>
      <c r="E1783" s="1461">
        <v>815.35462410258503</v>
      </c>
      <c r="F1783" s="1462">
        <v>0.39967730880128099</v>
      </c>
      <c r="G1783" s="1463">
        <v>0.43280173204324501</v>
      </c>
    </row>
    <row r="1784" spans="1:7" x14ac:dyDescent="0.3">
      <c r="A1784" s="6" t="s">
        <v>6364</v>
      </c>
      <c r="B1784" s="6"/>
      <c r="C1784" s="1456">
        <v>3</v>
      </c>
      <c r="D1784" s="1456">
        <v>517.29347763076305</v>
      </c>
      <c r="E1784" s="1457">
        <v>298.41697571747699</v>
      </c>
      <c r="F1784" s="1458">
        <v>0.27217573567599501</v>
      </c>
      <c r="G1784" s="1459">
        <v>0.15309060964592799</v>
      </c>
    </row>
    <row r="1785" spans="1:7" x14ac:dyDescent="0.3">
      <c r="A1785" s="11" t="s">
        <v>1219</v>
      </c>
      <c r="B1785" s="11"/>
      <c r="C1785" s="1460">
        <v>1</v>
      </c>
      <c r="D1785" s="1460">
        <v>336.503904139746</v>
      </c>
      <c r="E1785" s="1461">
        <v>349.045864392113</v>
      </c>
      <c r="F1785" s="1462">
        <v>0.17705268213811601</v>
      </c>
      <c r="G1785" s="1463">
        <v>0.184964377547926</v>
      </c>
    </row>
    <row r="1786" spans="1:7" x14ac:dyDescent="0.3">
      <c r="A1786" s="6" t="s">
        <v>1075</v>
      </c>
      <c r="B1786" s="6"/>
      <c r="C1786" s="1456">
        <v>1</v>
      </c>
      <c r="D1786" s="1456">
        <v>318.68625407259702</v>
      </c>
      <c r="E1786" s="1457">
        <v>348.448884296198</v>
      </c>
      <c r="F1786" s="1458">
        <v>0.16767786450605299</v>
      </c>
      <c r="G1786" s="1459">
        <v>0.182876744304276</v>
      </c>
    </row>
    <row r="1787" spans="1:7" x14ac:dyDescent="0.3">
      <c r="A1787" s="11" t="s">
        <v>1019</v>
      </c>
      <c r="B1787" s="11" t="s">
        <v>1020</v>
      </c>
      <c r="C1787" s="1460">
        <v>1743</v>
      </c>
      <c r="D1787" s="1460">
        <v>627344.62975461397</v>
      </c>
      <c r="E1787" s="1461">
        <v>8365.5041521070107</v>
      </c>
      <c r="F1787" s="1462">
        <v>99.974543752521299</v>
      </c>
      <c r="G1787" s="1463">
        <v>2.5858119069704501E-2</v>
      </c>
    </row>
    <row r="1788" spans="1:7" x14ac:dyDescent="0.3">
      <c r="A1788" s="6" t="s">
        <v>1015</v>
      </c>
      <c r="B1788" s="6" t="s">
        <v>1092</v>
      </c>
      <c r="C1788" s="1456">
        <v>2</v>
      </c>
      <c r="D1788" s="1456">
        <v>159.73906506654299</v>
      </c>
      <c r="E1788" s="1457">
        <v>162.437165594986</v>
      </c>
      <c r="F1788" s="1458">
        <v>2.5456247478723999E-2</v>
      </c>
      <c r="G1788" s="1459">
        <v>2.5858119069700199E-2</v>
      </c>
    </row>
    <row r="1789" spans="1:7" x14ac:dyDescent="0.3">
      <c r="A1789" s="11" t="s">
        <v>6354</v>
      </c>
      <c r="B1789" s="11" t="s">
        <v>6355</v>
      </c>
      <c r="C1789" s="1460">
        <v>529</v>
      </c>
      <c r="D1789" s="1460">
        <v>190058.63118031999</v>
      </c>
      <c r="E1789" s="1461">
        <v>8437.3169235774403</v>
      </c>
      <c r="F1789" s="1462">
        <v>23.246970714222702</v>
      </c>
      <c r="G1789" s="1463">
        <v>1.03200816616914</v>
      </c>
    </row>
    <row r="1790" spans="1:7" x14ac:dyDescent="0.3">
      <c r="A1790" s="6" t="s">
        <v>6354</v>
      </c>
      <c r="B1790" s="6" t="s">
        <v>6356</v>
      </c>
      <c r="C1790" s="1456">
        <v>2274</v>
      </c>
      <c r="D1790" s="1456">
        <v>817563</v>
      </c>
      <c r="E1790" s="1457">
        <v>0</v>
      </c>
      <c r="F1790" s="1458">
        <v>100</v>
      </c>
      <c r="G1790" s="1459">
        <v>0</v>
      </c>
    </row>
    <row r="1791" spans="1:7" x14ac:dyDescent="0.3">
      <c r="A1791" s="3449" t="s">
        <v>405</v>
      </c>
      <c r="B1791" s="3450"/>
      <c r="C1791" s="3450"/>
      <c r="D1791" s="3450"/>
      <c r="E1791" s="3450"/>
      <c r="F1791" s="3450"/>
      <c r="G1791" s="3450"/>
    </row>
    <row r="1792" spans="1:7" x14ac:dyDescent="0.3">
      <c r="A1792" s="11" t="s">
        <v>6358</v>
      </c>
      <c r="B1792" s="11"/>
      <c r="C1792" s="1468">
        <v>290</v>
      </c>
      <c r="D1792" s="1468">
        <v>101691.33990099</v>
      </c>
      <c r="E1792" s="1469">
        <v>13213.157685894501</v>
      </c>
      <c r="F1792" s="1470">
        <v>22.043921029982702</v>
      </c>
      <c r="G1792" s="1471">
        <v>2.3869227768957</v>
      </c>
    </row>
    <row r="1793" spans="1:7" x14ac:dyDescent="0.3">
      <c r="A1793" s="6" t="s">
        <v>6361</v>
      </c>
      <c r="B1793" s="6"/>
      <c r="C1793" s="1464">
        <v>229</v>
      </c>
      <c r="D1793" s="1464">
        <v>84629.520457121296</v>
      </c>
      <c r="E1793" s="1465">
        <v>9296.1785188971407</v>
      </c>
      <c r="F1793" s="1466">
        <v>18.345381893664399</v>
      </c>
      <c r="G1793" s="1467">
        <v>2.1358728267466001</v>
      </c>
    </row>
    <row r="1794" spans="1:7" x14ac:dyDescent="0.3">
      <c r="A1794" s="11" t="s">
        <v>6359</v>
      </c>
      <c r="B1794" s="11"/>
      <c r="C1794" s="1468">
        <v>205</v>
      </c>
      <c r="D1794" s="1468">
        <v>75644.276825806795</v>
      </c>
      <c r="E1794" s="1469">
        <v>6802.5417661845304</v>
      </c>
      <c r="F1794" s="1470">
        <v>16.397625071532801</v>
      </c>
      <c r="G1794" s="1471">
        <v>1.6079342703045301</v>
      </c>
    </row>
    <row r="1795" spans="1:7" x14ac:dyDescent="0.3">
      <c r="A1795" s="6" t="s">
        <v>6360</v>
      </c>
      <c r="B1795" s="6"/>
      <c r="C1795" s="1464">
        <v>168</v>
      </c>
      <c r="D1795" s="1464">
        <v>56343.449690104499</v>
      </c>
      <c r="E1795" s="1465">
        <v>7364.2492094313902</v>
      </c>
      <c r="F1795" s="1466">
        <v>12.2137298685881</v>
      </c>
      <c r="G1795" s="1467">
        <v>1.7000225543255401</v>
      </c>
    </row>
    <row r="1796" spans="1:7" x14ac:dyDescent="0.3">
      <c r="A1796" s="11" t="s">
        <v>6363</v>
      </c>
      <c r="B1796" s="11"/>
      <c r="C1796" s="1468">
        <v>171</v>
      </c>
      <c r="D1796" s="1468">
        <v>49707.829646568003</v>
      </c>
      <c r="E1796" s="1469">
        <v>10485.3229677528</v>
      </c>
      <c r="F1796" s="1470">
        <v>10.775307635513901</v>
      </c>
      <c r="G1796" s="1471">
        <v>2.1328526782763801</v>
      </c>
    </row>
    <row r="1797" spans="1:7" x14ac:dyDescent="0.3">
      <c r="A1797" s="6" t="s">
        <v>1219</v>
      </c>
      <c r="B1797" s="6"/>
      <c r="C1797" s="1464">
        <v>100</v>
      </c>
      <c r="D1797" s="1464">
        <v>33907.713561585799</v>
      </c>
      <c r="E1797" s="1465">
        <v>4387.9578323798896</v>
      </c>
      <c r="F1797" s="1466">
        <v>7.3502715254477202</v>
      </c>
      <c r="G1797" s="1467">
        <v>1.0126778500990301</v>
      </c>
    </row>
    <row r="1798" spans="1:7" x14ac:dyDescent="0.3">
      <c r="A1798" s="11" t="s">
        <v>6357</v>
      </c>
      <c r="B1798" s="11"/>
      <c r="C1798" s="1468">
        <v>76</v>
      </c>
      <c r="D1798" s="1468">
        <v>25299.267693161099</v>
      </c>
      <c r="E1798" s="1469">
        <v>4318.6727602431401</v>
      </c>
      <c r="F1798" s="1470">
        <v>5.4841942262480403</v>
      </c>
      <c r="G1798" s="1471">
        <v>0.90733548946158504</v>
      </c>
    </row>
    <row r="1799" spans="1:7" x14ac:dyDescent="0.3">
      <c r="A1799" s="6" t="s">
        <v>6362</v>
      </c>
      <c r="B1799" s="6"/>
      <c r="C1799" s="1464">
        <v>49</v>
      </c>
      <c r="D1799" s="1464">
        <v>19855.361310256299</v>
      </c>
      <c r="E1799" s="1465">
        <v>3460.99150304666</v>
      </c>
      <c r="F1799" s="1466">
        <v>4.3041031534367997</v>
      </c>
      <c r="G1799" s="1467">
        <v>0.77381383597264297</v>
      </c>
    </row>
    <row r="1800" spans="1:7" x14ac:dyDescent="0.3">
      <c r="A1800" s="11" t="s">
        <v>6364</v>
      </c>
      <c r="B1800" s="11"/>
      <c r="C1800" s="1468">
        <v>8</v>
      </c>
      <c r="D1800" s="1468">
        <v>3310.7316431529398</v>
      </c>
      <c r="E1800" s="1469">
        <v>1941.34052887657</v>
      </c>
      <c r="F1800" s="1470">
        <v>0.71767671626891205</v>
      </c>
      <c r="G1800" s="1471">
        <v>0.41666276021114101</v>
      </c>
    </row>
    <row r="1801" spans="1:7" x14ac:dyDescent="0.3">
      <c r="A1801" s="6" t="s">
        <v>1063</v>
      </c>
      <c r="B1801" s="6"/>
      <c r="C1801" s="1464">
        <v>19</v>
      </c>
      <c r="D1801" s="1464">
        <v>3001.9905911200099</v>
      </c>
      <c r="E1801" s="1465">
        <v>1417.66699322609</v>
      </c>
      <c r="F1801" s="1466">
        <v>0.65075004014925397</v>
      </c>
      <c r="G1801" s="1467">
        <v>0.30839949776442399</v>
      </c>
    </row>
    <row r="1802" spans="1:7" x14ac:dyDescent="0.3">
      <c r="A1802" s="11" t="s">
        <v>1073</v>
      </c>
      <c r="B1802" s="11"/>
      <c r="C1802" s="1468">
        <v>6</v>
      </c>
      <c r="D1802" s="1468">
        <v>2751.5327768379698</v>
      </c>
      <c r="E1802" s="1469">
        <v>1026.96899091865</v>
      </c>
      <c r="F1802" s="1470">
        <v>0.59645758727420195</v>
      </c>
      <c r="G1802" s="1471">
        <v>0.217751054049096</v>
      </c>
    </row>
    <row r="1803" spans="1:7" x14ac:dyDescent="0.3">
      <c r="A1803" s="6" t="s">
        <v>1222</v>
      </c>
      <c r="B1803" s="6"/>
      <c r="C1803" s="1464">
        <v>7</v>
      </c>
      <c r="D1803" s="1464">
        <v>1387.14333281056</v>
      </c>
      <c r="E1803" s="1465">
        <v>811.48836936903695</v>
      </c>
      <c r="F1803" s="1466">
        <v>0.30069500623666601</v>
      </c>
      <c r="G1803" s="1467">
        <v>0.17879530305691299</v>
      </c>
    </row>
    <row r="1804" spans="1:7" x14ac:dyDescent="0.3">
      <c r="A1804" s="11" t="s">
        <v>1071</v>
      </c>
      <c r="B1804" s="11"/>
      <c r="C1804" s="1468">
        <v>5</v>
      </c>
      <c r="D1804" s="1468">
        <v>1249.40158810002</v>
      </c>
      <c r="E1804" s="1469">
        <v>1107.7319132626101</v>
      </c>
      <c r="F1804" s="1470">
        <v>0.27083633640413701</v>
      </c>
      <c r="G1804" s="1471">
        <v>0.240353048366136</v>
      </c>
    </row>
    <row r="1805" spans="1:7" x14ac:dyDescent="0.3">
      <c r="A1805" s="6" t="s">
        <v>1114</v>
      </c>
      <c r="B1805" s="6"/>
      <c r="C1805" s="1464">
        <v>11</v>
      </c>
      <c r="D1805" s="1464">
        <v>1181.3643986575601</v>
      </c>
      <c r="E1805" s="1465">
        <v>722.23023575875698</v>
      </c>
      <c r="F1805" s="1466">
        <v>0.25608772130444601</v>
      </c>
      <c r="G1805" s="1467">
        <v>0.156531965687011</v>
      </c>
    </row>
    <row r="1806" spans="1:7" x14ac:dyDescent="0.3">
      <c r="A1806" s="11" t="s">
        <v>6365</v>
      </c>
      <c r="B1806" s="11"/>
      <c r="C1806" s="1468">
        <v>4</v>
      </c>
      <c r="D1806" s="1468">
        <v>1091.98889108598</v>
      </c>
      <c r="E1806" s="1469">
        <v>445.866795627231</v>
      </c>
      <c r="F1806" s="1470">
        <v>0.23671353828315</v>
      </c>
      <c r="G1806" s="1471">
        <v>9.3990020542359207E-2</v>
      </c>
    </row>
    <row r="1807" spans="1:7" x14ac:dyDescent="0.3">
      <c r="A1807" s="6" t="s">
        <v>1067</v>
      </c>
      <c r="B1807" s="6"/>
      <c r="C1807" s="1464">
        <v>2</v>
      </c>
      <c r="D1807" s="1464">
        <v>259.48199252967498</v>
      </c>
      <c r="E1807" s="1465">
        <v>203.486807295435</v>
      </c>
      <c r="F1807" s="1466">
        <v>5.6248649664719701E-2</v>
      </c>
      <c r="G1807" s="1467">
        <v>4.3877100111775598E-2</v>
      </c>
    </row>
    <row r="1808" spans="1:7" x14ac:dyDescent="0.3">
      <c r="A1808" s="11" t="s">
        <v>1019</v>
      </c>
      <c r="B1808" s="11" t="s">
        <v>1020</v>
      </c>
      <c r="C1808" s="1468">
        <v>914</v>
      </c>
      <c r="D1808" s="1468">
        <v>354297.98430289101</v>
      </c>
      <c r="E1808" s="1469">
        <v>13107.5100631687</v>
      </c>
      <c r="F1808" s="1470">
        <v>99.451896680040093</v>
      </c>
      <c r="G1808" s="1471">
        <v>0.25780938506289802</v>
      </c>
    </row>
    <row r="1809" spans="1:7" x14ac:dyDescent="0.3">
      <c r="A1809" s="6" t="s">
        <v>1015</v>
      </c>
      <c r="B1809" s="6" t="s">
        <v>1092</v>
      </c>
      <c r="C1809" s="1464">
        <v>9</v>
      </c>
      <c r="D1809" s="1464">
        <v>1788.24252261381</v>
      </c>
      <c r="E1809" s="1465">
        <v>959.34382073326901</v>
      </c>
      <c r="F1809" s="1466">
        <v>0.50196195992411496</v>
      </c>
      <c r="G1809" s="1467">
        <v>0.26181041862989202</v>
      </c>
    </row>
    <row r="1810" spans="1:7" x14ac:dyDescent="0.3">
      <c r="A1810" s="11" t="s">
        <v>1017</v>
      </c>
      <c r="B1810" s="11" t="s">
        <v>1086</v>
      </c>
      <c r="C1810" s="1468">
        <v>1</v>
      </c>
      <c r="D1810" s="1468">
        <v>164.378874605883</v>
      </c>
      <c r="E1810" s="1469">
        <v>173.94133431240201</v>
      </c>
      <c r="F1810" s="1470">
        <v>4.6141360035821498E-2</v>
      </c>
      <c r="G1810" s="1471">
        <v>4.8928742631385497E-2</v>
      </c>
    </row>
    <row r="1811" spans="1:7" x14ac:dyDescent="0.3">
      <c r="A1811" s="6" t="s">
        <v>6354</v>
      </c>
      <c r="B1811" s="6" t="s">
        <v>6355</v>
      </c>
      <c r="C1811" s="1464">
        <v>1350</v>
      </c>
      <c r="D1811" s="1464">
        <v>461312.39429988898</v>
      </c>
      <c r="E1811" s="1465">
        <v>13511.4845328592</v>
      </c>
      <c r="F1811" s="1466">
        <v>56.425302306964603</v>
      </c>
      <c r="G1811" s="1467">
        <v>1.65265362215016</v>
      </c>
    </row>
    <row r="1812" spans="1:7" x14ac:dyDescent="0.3">
      <c r="A1812" s="11" t="s">
        <v>6354</v>
      </c>
      <c r="B1812" s="11" t="s">
        <v>6356</v>
      </c>
      <c r="C1812" s="1468">
        <v>2274</v>
      </c>
      <c r="D1812" s="1468">
        <v>817563</v>
      </c>
      <c r="E1812" s="1469">
        <v>0</v>
      </c>
      <c r="F1812" s="1470">
        <v>100</v>
      </c>
      <c r="G1812" s="1471">
        <v>0</v>
      </c>
    </row>
    <row r="1813" spans="1:7" x14ac:dyDescent="0.3">
      <c r="A1813" s="3449" t="s">
        <v>83</v>
      </c>
      <c r="B1813" s="3450"/>
      <c r="C1813" s="3450"/>
      <c r="D1813" s="3450"/>
      <c r="E1813" s="3450"/>
      <c r="F1813" s="3450"/>
      <c r="G1813" s="3450"/>
    </row>
    <row r="1814" spans="1:7" x14ac:dyDescent="0.3">
      <c r="A1814" s="11" t="s">
        <v>1021</v>
      </c>
      <c r="B1814" s="11" t="s">
        <v>1106</v>
      </c>
      <c r="C1814" s="1476">
        <v>2083</v>
      </c>
      <c r="D1814" s="1476">
        <v>699872.09771399503</v>
      </c>
      <c r="E1814" s="1477">
        <v>8840.8759440351605</v>
      </c>
      <c r="F1814" s="1478">
        <v>92.206841420841897</v>
      </c>
      <c r="G1814" s="1479">
        <v>1.1647693879588701</v>
      </c>
    </row>
    <row r="1815" spans="1:7" x14ac:dyDescent="0.3">
      <c r="A1815" s="6" t="s">
        <v>1023</v>
      </c>
      <c r="B1815" s="6" t="s">
        <v>1107</v>
      </c>
      <c r="C1815" s="1472">
        <v>98</v>
      </c>
      <c r="D1815" s="1472">
        <v>59151.947497253001</v>
      </c>
      <c r="E1815" s="1473">
        <v>8840.8795743094797</v>
      </c>
      <c r="F1815" s="1474">
        <v>7.79315857915807</v>
      </c>
      <c r="G1815" s="1475">
        <v>1.1647693879588701</v>
      </c>
    </row>
    <row r="1816" spans="1:7" x14ac:dyDescent="0.3">
      <c r="A1816" s="11" t="s">
        <v>1019</v>
      </c>
      <c r="B1816" s="11"/>
      <c r="C1816" s="1476">
        <v>93</v>
      </c>
      <c r="D1816" s="1476">
        <v>58538.954788752002</v>
      </c>
      <c r="E1816" s="1477">
        <v>0.34436598578877903</v>
      </c>
      <c r="F1816" s="1478">
        <v>100</v>
      </c>
      <c r="G1816" s="1479">
        <v>0</v>
      </c>
    </row>
    <row r="1817" spans="1:7" x14ac:dyDescent="0.3">
      <c r="A1817" s="6" t="s">
        <v>6354</v>
      </c>
      <c r="B1817" s="6" t="s">
        <v>6355</v>
      </c>
      <c r="C1817" s="1472">
        <v>2181</v>
      </c>
      <c r="D1817" s="1472">
        <v>759024.04521124798</v>
      </c>
      <c r="E1817" s="1473">
        <v>0.34436597623261</v>
      </c>
      <c r="F1817" s="1474">
        <v>92.8398233789014</v>
      </c>
      <c r="G1817" s="1475">
        <v>4.2121033614682502E-5</v>
      </c>
    </row>
    <row r="1818" spans="1:7" x14ac:dyDescent="0.3">
      <c r="A1818" s="11" t="s">
        <v>6354</v>
      </c>
      <c r="B1818" s="11" t="s">
        <v>6356</v>
      </c>
      <c r="C1818" s="1476">
        <v>2274</v>
      </c>
      <c r="D1818" s="1476">
        <v>817563</v>
      </c>
      <c r="E1818" s="1477">
        <v>0</v>
      </c>
      <c r="F1818" s="1478">
        <v>100</v>
      </c>
      <c r="G1818" s="1479">
        <v>0</v>
      </c>
    </row>
    <row r="1819" spans="1:7" x14ac:dyDescent="0.3">
      <c r="A1819" s="3449" t="s">
        <v>1004</v>
      </c>
      <c r="B1819" s="3450"/>
      <c r="C1819" s="3450"/>
      <c r="D1819" s="3450"/>
      <c r="E1819" s="3450"/>
      <c r="F1819" s="3450"/>
      <c r="G1819" s="3450"/>
    </row>
    <row r="1820" spans="1:7" x14ac:dyDescent="0.3">
      <c r="A1820" s="11" t="s">
        <v>6472</v>
      </c>
      <c r="B1820" s="11"/>
      <c r="C1820" s="1484">
        <v>4</v>
      </c>
      <c r="D1820" s="1484">
        <v>5808.0744121882799</v>
      </c>
      <c r="E1820" s="1485">
        <v>4288.9845051636103</v>
      </c>
      <c r="F1820" s="1486">
        <v>9.8189064907085495</v>
      </c>
      <c r="G1820" s="1487">
        <v>6.6943271008531902</v>
      </c>
    </row>
    <row r="1821" spans="1:7" x14ac:dyDescent="0.3">
      <c r="A1821" s="6" t="s">
        <v>6473</v>
      </c>
      <c r="B1821" s="6"/>
      <c r="C1821" s="1480">
        <v>4</v>
      </c>
      <c r="D1821" s="1480">
        <v>5175.1800297129703</v>
      </c>
      <c r="E1821" s="1481">
        <v>2399.2781624590698</v>
      </c>
      <c r="F1821" s="1482">
        <v>8.7489596685777897</v>
      </c>
      <c r="G1821" s="1483">
        <v>4.2242327426126902</v>
      </c>
    </row>
    <row r="1822" spans="1:7" x14ac:dyDescent="0.3">
      <c r="A1822" s="11" t="s">
        <v>6474</v>
      </c>
      <c r="B1822" s="11"/>
      <c r="C1822" s="1484">
        <v>5</v>
      </c>
      <c r="D1822" s="1484">
        <v>3872.2848937901199</v>
      </c>
      <c r="E1822" s="1485">
        <v>2045.7464660906701</v>
      </c>
      <c r="F1822" s="1486">
        <v>6.5463354253381896</v>
      </c>
      <c r="G1822" s="1487">
        <v>3.1260073988252302</v>
      </c>
    </row>
    <row r="1823" spans="1:7" x14ac:dyDescent="0.3">
      <c r="A1823" s="6" t="s">
        <v>6475</v>
      </c>
      <c r="B1823" s="6"/>
      <c r="C1823" s="1480">
        <v>4</v>
      </c>
      <c r="D1823" s="1480">
        <v>3596.8471752584201</v>
      </c>
      <c r="E1823" s="1481">
        <v>2142.4816334676502</v>
      </c>
      <c r="F1823" s="1482">
        <v>6.0806910464367396</v>
      </c>
      <c r="G1823" s="1483">
        <v>3.2413817034069301</v>
      </c>
    </row>
    <row r="1824" spans="1:7" x14ac:dyDescent="0.3">
      <c r="A1824" s="11" t="s">
        <v>6476</v>
      </c>
      <c r="B1824" s="11"/>
      <c r="C1824" s="1484">
        <v>4</v>
      </c>
      <c r="D1824" s="1484">
        <v>3331.77369493688</v>
      </c>
      <c r="E1824" s="1485">
        <v>2602.8751274328702</v>
      </c>
      <c r="F1824" s="1486">
        <v>5.6325680487385599</v>
      </c>
      <c r="G1824" s="1487">
        <v>4.8123918820262803</v>
      </c>
    </row>
    <row r="1825" spans="1:7" x14ac:dyDescent="0.3">
      <c r="A1825" s="6" t="s">
        <v>3336</v>
      </c>
      <c r="B1825" s="6"/>
      <c r="C1825" s="1480">
        <v>4</v>
      </c>
      <c r="D1825" s="1480">
        <v>3237.4338152115802</v>
      </c>
      <c r="E1825" s="1481">
        <v>2257.5250702497601</v>
      </c>
      <c r="F1825" s="1482">
        <v>5.4730806882764496</v>
      </c>
      <c r="G1825" s="1483">
        <v>4.5407238026756902</v>
      </c>
    </row>
    <row r="1826" spans="1:7" x14ac:dyDescent="0.3">
      <c r="A1826" s="11" t="s">
        <v>6477</v>
      </c>
      <c r="B1826" s="11"/>
      <c r="C1826" s="1484">
        <v>3</v>
      </c>
      <c r="D1826" s="1484">
        <v>2907.7984460224502</v>
      </c>
      <c r="E1826" s="1485">
        <v>1545.25124375582</v>
      </c>
      <c r="F1826" s="1486">
        <v>4.9158118524457501</v>
      </c>
      <c r="G1826" s="1487">
        <v>2.4457595421796001</v>
      </c>
    </row>
    <row r="1827" spans="1:7" x14ac:dyDescent="0.3">
      <c r="A1827" s="6" t="s">
        <v>6478</v>
      </c>
      <c r="B1827" s="6"/>
      <c r="C1827" s="1480">
        <v>3</v>
      </c>
      <c r="D1827" s="1480">
        <v>2709.49556573264</v>
      </c>
      <c r="E1827" s="1481">
        <v>2197.9875609945102</v>
      </c>
      <c r="F1827" s="1482">
        <v>4.5805686547488103</v>
      </c>
      <c r="G1827" s="1483">
        <v>3.9720335709488599</v>
      </c>
    </row>
    <row r="1828" spans="1:7" x14ac:dyDescent="0.3">
      <c r="A1828" s="11" t="s">
        <v>6479</v>
      </c>
      <c r="B1828" s="11"/>
      <c r="C1828" s="1484">
        <v>3</v>
      </c>
      <c r="D1828" s="1484">
        <v>2519.4424355272199</v>
      </c>
      <c r="E1828" s="1485">
        <v>2599.9298258725898</v>
      </c>
      <c r="F1828" s="1486">
        <v>4.2592721662194197</v>
      </c>
      <c r="G1828" s="1487">
        <v>4.2882326954662702</v>
      </c>
    </row>
    <row r="1829" spans="1:7" x14ac:dyDescent="0.3">
      <c r="A1829" s="6" t="s">
        <v>6480</v>
      </c>
      <c r="B1829" s="6"/>
      <c r="C1829" s="1480">
        <v>4</v>
      </c>
      <c r="D1829" s="1480">
        <v>2439.10153297544</v>
      </c>
      <c r="E1829" s="1481">
        <v>1359.1696563723899</v>
      </c>
      <c r="F1829" s="1482">
        <v>4.1234509364019001</v>
      </c>
      <c r="G1829" s="1483">
        <v>2.3020331902033901</v>
      </c>
    </row>
    <row r="1830" spans="1:7" x14ac:dyDescent="0.3">
      <c r="A1830" s="11" t="s">
        <v>6481</v>
      </c>
      <c r="B1830" s="11"/>
      <c r="C1830" s="1484">
        <v>2</v>
      </c>
      <c r="D1830" s="1484">
        <v>2014.10718116105</v>
      </c>
      <c r="E1830" s="1485">
        <v>1580.83419139681</v>
      </c>
      <c r="F1830" s="1486">
        <v>3.4049718840695502</v>
      </c>
      <c r="G1830" s="1487">
        <v>2.97417000947646</v>
      </c>
    </row>
    <row r="1831" spans="1:7" x14ac:dyDescent="0.3">
      <c r="A1831" s="6" t="s">
        <v>6482</v>
      </c>
      <c r="B1831" s="6"/>
      <c r="C1831" s="1480">
        <v>2</v>
      </c>
      <c r="D1831" s="1480">
        <v>2013.3782872945201</v>
      </c>
      <c r="E1831" s="1481">
        <v>1430.98733108291</v>
      </c>
      <c r="F1831" s="1482">
        <v>3.40373964422393</v>
      </c>
      <c r="G1831" s="1483">
        <v>2.76096804255724</v>
      </c>
    </row>
    <row r="1832" spans="1:7" x14ac:dyDescent="0.3">
      <c r="A1832" s="11" t="s">
        <v>6483</v>
      </c>
      <c r="B1832" s="11"/>
      <c r="C1832" s="1484">
        <v>2</v>
      </c>
      <c r="D1832" s="1484">
        <v>1980.60834234002</v>
      </c>
      <c r="E1832" s="1485">
        <v>1996.7765341004399</v>
      </c>
      <c r="F1832" s="1486">
        <v>3.3483400397459402</v>
      </c>
      <c r="G1832" s="1487">
        <v>3.5474839656501</v>
      </c>
    </row>
    <row r="1833" spans="1:7" x14ac:dyDescent="0.3">
      <c r="A1833" s="6" t="s">
        <v>6484</v>
      </c>
      <c r="B1833" s="6"/>
      <c r="C1833" s="1480">
        <v>1</v>
      </c>
      <c r="D1833" s="1480">
        <v>1877.0869321139501</v>
      </c>
      <c r="E1833" s="1481">
        <v>1885.10825472633</v>
      </c>
      <c r="F1833" s="1482">
        <v>3.1733307380980502</v>
      </c>
      <c r="G1833" s="1483">
        <v>3.1433887781207202</v>
      </c>
    </row>
    <row r="1834" spans="1:7" x14ac:dyDescent="0.3">
      <c r="A1834" s="11" t="s">
        <v>6485</v>
      </c>
      <c r="B1834" s="11"/>
      <c r="C1834" s="1484">
        <v>1</v>
      </c>
      <c r="D1834" s="1484">
        <v>1767.2501737073701</v>
      </c>
      <c r="E1834" s="1485">
        <v>1785.29736469465</v>
      </c>
      <c r="F1834" s="1486">
        <v>2.9876449525004101</v>
      </c>
      <c r="G1834" s="1487">
        <v>3.2242396961967499</v>
      </c>
    </row>
    <row r="1835" spans="1:7" x14ac:dyDescent="0.3">
      <c r="A1835" s="6" t="s">
        <v>6486</v>
      </c>
      <c r="B1835" s="6"/>
      <c r="C1835" s="1480">
        <v>7</v>
      </c>
      <c r="D1835" s="1480">
        <v>1558.10098491637</v>
      </c>
      <c r="E1835" s="1481">
        <v>1647.4381475482301</v>
      </c>
      <c r="F1835" s="1482">
        <v>2.6340654041673401</v>
      </c>
      <c r="G1835" s="1483">
        <v>2.7703735363186399</v>
      </c>
    </row>
    <row r="1836" spans="1:7" x14ac:dyDescent="0.3">
      <c r="A1836" s="11" t="s">
        <v>6487</v>
      </c>
      <c r="B1836" s="11"/>
      <c r="C1836" s="1484">
        <v>1</v>
      </c>
      <c r="D1836" s="1484">
        <v>1492.48800146536</v>
      </c>
      <c r="E1836" s="1485">
        <v>1503.3259574460001</v>
      </c>
      <c r="F1836" s="1486">
        <v>2.5231426260896499</v>
      </c>
      <c r="G1836" s="1487">
        <v>2.6893061344148799</v>
      </c>
    </row>
    <row r="1837" spans="1:7" x14ac:dyDescent="0.3">
      <c r="A1837" s="6" t="s">
        <v>6488</v>
      </c>
      <c r="B1837" s="6"/>
      <c r="C1837" s="1480">
        <v>1</v>
      </c>
      <c r="D1837" s="1480">
        <v>1364.59425320326</v>
      </c>
      <c r="E1837" s="1481">
        <v>1520.13317318598</v>
      </c>
      <c r="F1837" s="1482">
        <v>2.3069303901898301</v>
      </c>
      <c r="G1837" s="1483">
        <v>2.6739542888849801</v>
      </c>
    </row>
    <row r="1838" spans="1:7" x14ac:dyDescent="0.3">
      <c r="A1838" s="11" t="s">
        <v>6489</v>
      </c>
      <c r="B1838" s="11"/>
      <c r="C1838" s="1484">
        <v>1</v>
      </c>
      <c r="D1838" s="1484">
        <v>1345.39096552611</v>
      </c>
      <c r="E1838" s="1485">
        <v>1512.94832878531</v>
      </c>
      <c r="F1838" s="1486">
        <v>2.27446605302148</v>
      </c>
      <c r="G1838" s="1487">
        <v>2.9038518333179502</v>
      </c>
    </row>
    <row r="1839" spans="1:7" x14ac:dyDescent="0.3">
      <c r="A1839" s="6" t="s">
        <v>6490</v>
      </c>
      <c r="B1839" s="6"/>
      <c r="C1839" s="1480">
        <v>4</v>
      </c>
      <c r="D1839" s="1480">
        <v>1303.8978307396801</v>
      </c>
      <c r="E1839" s="1481">
        <v>1175.1982132389101</v>
      </c>
      <c r="F1839" s="1482">
        <v>2.2043193604069198</v>
      </c>
      <c r="G1839" s="1483">
        <v>2.0405295735342501</v>
      </c>
    </row>
    <row r="1840" spans="1:7" x14ac:dyDescent="0.3">
      <c r="A1840" s="11" t="s">
        <v>6491</v>
      </c>
      <c r="B1840" s="11"/>
      <c r="C1840" s="1484">
        <v>2</v>
      </c>
      <c r="D1840" s="1484">
        <v>895.07691137652398</v>
      </c>
      <c r="E1840" s="1485">
        <v>636.22485005931298</v>
      </c>
      <c r="F1840" s="1486">
        <v>1.5131824889080601</v>
      </c>
      <c r="G1840" s="1487">
        <v>0.97904355178116798</v>
      </c>
    </row>
    <row r="1841" spans="1:7" x14ac:dyDescent="0.3">
      <c r="A1841" s="6" t="s">
        <v>6492</v>
      </c>
      <c r="B1841" s="6"/>
      <c r="C1841" s="1480">
        <v>2</v>
      </c>
      <c r="D1841" s="1480">
        <v>577.45513695120599</v>
      </c>
      <c r="E1841" s="1481">
        <v>510.47434637654601</v>
      </c>
      <c r="F1841" s="1482">
        <v>0.97622337282812699</v>
      </c>
      <c r="G1841" s="1483">
        <v>0.84338507222001402</v>
      </c>
    </row>
    <row r="1842" spans="1:7" x14ac:dyDescent="0.3">
      <c r="A1842" s="11" t="s">
        <v>6493</v>
      </c>
      <c r="B1842" s="11"/>
      <c r="C1842" s="1484">
        <v>1</v>
      </c>
      <c r="D1842" s="1484">
        <v>488.53349527888997</v>
      </c>
      <c r="E1842" s="1485">
        <v>528.57763145130195</v>
      </c>
      <c r="F1842" s="1486">
        <v>0.825895876550096</v>
      </c>
      <c r="G1842" s="1487">
        <v>0.92450930560929601</v>
      </c>
    </row>
    <row r="1843" spans="1:7" x14ac:dyDescent="0.3">
      <c r="A1843" s="6" t="s">
        <v>6494</v>
      </c>
      <c r="B1843" s="6"/>
      <c r="C1843" s="1480">
        <v>2</v>
      </c>
      <c r="D1843" s="1480">
        <v>485.02824179904201</v>
      </c>
      <c r="E1843" s="1481">
        <v>556.189036094686</v>
      </c>
      <c r="F1843" s="1482">
        <v>0.819970030270883</v>
      </c>
      <c r="G1843" s="1483">
        <v>0.91788164580956899</v>
      </c>
    </row>
    <row r="1844" spans="1:7" x14ac:dyDescent="0.3">
      <c r="A1844" s="11" t="s">
        <v>6495</v>
      </c>
      <c r="B1844" s="11"/>
      <c r="C1844" s="1484">
        <v>2</v>
      </c>
      <c r="D1844" s="1484">
        <v>475.72868443368702</v>
      </c>
      <c r="E1844" s="1485">
        <v>473.72677145254403</v>
      </c>
      <c r="F1844" s="1486">
        <v>0.80424855742201895</v>
      </c>
      <c r="G1844" s="1487">
        <v>0.81357260882257798</v>
      </c>
    </row>
    <row r="1845" spans="1:7" x14ac:dyDescent="0.3">
      <c r="A1845" s="6" t="s">
        <v>6496</v>
      </c>
      <c r="B1845" s="6"/>
      <c r="C1845" s="1480">
        <v>1</v>
      </c>
      <c r="D1845" s="1480">
        <v>458.13302525962803</v>
      </c>
      <c r="E1845" s="1481">
        <v>491.60770735568798</v>
      </c>
      <c r="F1845" s="1482">
        <v>0.77450201496899795</v>
      </c>
      <c r="G1845" s="1483">
        <v>0.81655548035818404</v>
      </c>
    </row>
    <row r="1846" spans="1:7" x14ac:dyDescent="0.3">
      <c r="A1846" s="11" t="s">
        <v>6497</v>
      </c>
      <c r="B1846" s="11"/>
      <c r="C1846" s="1484">
        <v>3</v>
      </c>
      <c r="D1846" s="1484">
        <v>428.102356306437</v>
      </c>
      <c r="E1846" s="1485">
        <v>443.66313837266699</v>
      </c>
      <c r="F1846" s="1486">
        <v>0.72373332480104402</v>
      </c>
      <c r="G1846" s="1487">
        <v>0.74773471566947303</v>
      </c>
    </row>
    <row r="1847" spans="1:7" x14ac:dyDescent="0.3">
      <c r="A1847" s="6" t="s">
        <v>6498</v>
      </c>
      <c r="B1847" s="6"/>
      <c r="C1847" s="1480">
        <v>1</v>
      </c>
      <c r="D1847" s="1480">
        <v>354.747825978788</v>
      </c>
      <c r="E1847" s="1481">
        <v>370.90842232331499</v>
      </c>
      <c r="F1847" s="1482">
        <v>0.59972298628927201</v>
      </c>
      <c r="G1847" s="1483">
        <v>0.62933768853439598</v>
      </c>
    </row>
    <row r="1848" spans="1:7" x14ac:dyDescent="0.3">
      <c r="A1848" s="11" t="s">
        <v>6499</v>
      </c>
      <c r="B1848" s="11"/>
      <c r="C1848" s="1484">
        <v>1</v>
      </c>
      <c r="D1848" s="1484">
        <v>313.38882730667899</v>
      </c>
      <c r="E1848" s="1485">
        <v>317.04152479397197</v>
      </c>
      <c r="F1848" s="1486">
        <v>0.52980305901379299</v>
      </c>
      <c r="G1848" s="1487">
        <v>0.53971137956689397</v>
      </c>
    </row>
    <row r="1849" spans="1:7" x14ac:dyDescent="0.3">
      <c r="A1849" s="6" t="s">
        <v>6500</v>
      </c>
      <c r="B1849" s="6"/>
      <c r="C1849" s="1480">
        <v>1</v>
      </c>
      <c r="D1849" s="1480">
        <v>296.74848238561998</v>
      </c>
      <c r="E1849" s="1481">
        <v>314.79766648937601</v>
      </c>
      <c r="F1849" s="1482">
        <v>0.501671533975109</v>
      </c>
      <c r="G1849" s="1483">
        <v>0.52017718481644504</v>
      </c>
    </row>
    <row r="1850" spans="1:7" x14ac:dyDescent="0.3">
      <c r="A1850" s="11" t="s">
        <v>6501</v>
      </c>
      <c r="B1850" s="11"/>
      <c r="C1850" s="1484">
        <v>1</v>
      </c>
      <c r="D1850" s="1484">
        <v>267.554516531297</v>
      </c>
      <c r="E1850" s="1485">
        <v>287.34594758600002</v>
      </c>
      <c r="F1850" s="1486">
        <v>0.45231734178104999</v>
      </c>
      <c r="G1850" s="1487">
        <v>0.48369654709361598</v>
      </c>
    </row>
    <row r="1851" spans="1:7" x14ac:dyDescent="0.3">
      <c r="A1851" s="6" t="s">
        <v>6502</v>
      </c>
      <c r="B1851" s="6"/>
      <c r="C1851" s="1480">
        <v>1</v>
      </c>
      <c r="D1851" s="1480">
        <v>254.20477603630701</v>
      </c>
      <c r="E1851" s="1481">
        <v>278.35782496280399</v>
      </c>
      <c r="F1851" s="1482">
        <v>0.42974878561371499</v>
      </c>
      <c r="G1851" s="1483">
        <v>0.46184183732725798</v>
      </c>
    </row>
    <row r="1852" spans="1:7" x14ac:dyDescent="0.3">
      <c r="A1852" s="11" t="s">
        <v>6503</v>
      </c>
      <c r="B1852" s="11"/>
      <c r="C1852" s="1484">
        <v>1</v>
      </c>
      <c r="D1852" s="1484">
        <v>230.30120744924099</v>
      </c>
      <c r="E1852" s="1485">
        <v>252.39154152821601</v>
      </c>
      <c r="F1852" s="1486">
        <v>0.38933833490425002</v>
      </c>
      <c r="G1852" s="1487">
        <v>0.44930278830765702</v>
      </c>
    </row>
    <row r="1853" spans="1:7" x14ac:dyDescent="0.3">
      <c r="A1853" s="6" t="s">
        <v>6504</v>
      </c>
      <c r="B1853" s="6"/>
      <c r="C1853" s="1480">
        <v>1</v>
      </c>
      <c r="D1853" s="1480">
        <v>217.15664595534</v>
      </c>
      <c r="E1853" s="1481">
        <v>221.780953179021</v>
      </c>
      <c r="F1853" s="1482">
        <v>0.36711664643911301</v>
      </c>
      <c r="G1853" s="1483">
        <v>0.36604720158225801</v>
      </c>
    </row>
    <row r="1854" spans="1:7" x14ac:dyDescent="0.3">
      <c r="A1854" s="11" t="s">
        <v>6505</v>
      </c>
      <c r="B1854" s="11"/>
      <c r="C1854" s="1484">
        <v>1</v>
      </c>
      <c r="D1854" s="1484">
        <v>175.049295757631</v>
      </c>
      <c r="E1854" s="1485">
        <v>205.06508571148299</v>
      </c>
      <c r="F1854" s="1486">
        <v>0.29593158495036898</v>
      </c>
      <c r="G1854" s="1487">
        <v>0.34666765238897101</v>
      </c>
    </row>
    <row r="1855" spans="1:7" x14ac:dyDescent="0.3">
      <c r="A1855" s="6" t="s">
        <v>6506</v>
      </c>
      <c r="B1855" s="6"/>
      <c r="C1855" s="1480">
        <v>1</v>
      </c>
      <c r="D1855" s="1480">
        <v>174.232445205468</v>
      </c>
      <c r="E1855" s="1481">
        <v>182.97416434706801</v>
      </c>
      <c r="F1855" s="1482">
        <v>0.29455064892590299</v>
      </c>
      <c r="G1855" s="1483">
        <v>0.30721170286677801</v>
      </c>
    </row>
    <row r="1856" spans="1:7" x14ac:dyDescent="0.3">
      <c r="A1856" s="11" t="s">
        <v>6507</v>
      </c>
      <c r="B1856" s="11"/>
      <c r="C1856" s="1484">
        <v>1</v>
      </c>
      <c r="D1856" s="1484">
        <v>156.05517260064801</v>
      </c>
      <c r="E1856" s="1485">
        <v>167.12134708624299</v>
      </c>
      <c r="F1856" s="1486">
        <v>0.26382085324899102</v>
      </c>
      <c r="G1856" s="1487">
        <v>0.27940427129165002</v>
      </c>
    </row>
    <row r="1857" spans="1:7" x14ac:dyDescent="0.3">
      <c r="A1857" s="6" t="s">
        <v>6508</v>
      </c>
      <c r="B1857" s="6"/>
      <c r="C1857" s="1480">
        <v>1</v>
      </c>
      <c r="D1857" s="1480">
        <v>145.67080173060501</v>
      </c>
      <c r="E1857" s="1481">
        <v>145.16539797127601</v>
      </c>
      <c r="F1857" s="1482">
        <v>0.24626543654774799</v>
      </c>
      <c r="G1857" s="1483">
        <v>0.26545126337231301</v>
      </c>
    </row>
    <row r="1858" spans="1:7" x14ac:dyDescent="0.3">
      <c r="A1858" s="11" t="s">
        <v>6509</v>
      </c>
      <c r="B1858" s="11"/>
      <c r="C1858" s="1484">
        <v>1</v>
      </c>
      <c r="D1858" s="1484">
        <v>126.720405930269</v>
      </c>
      <c r="E1858" s="1485">
        <v>133.06754289006199</v>
      </c>
      <c r="F1858" s="1486">
        <v>0.21422862862825301</v>
      </c>
      <c r="G1858" s="1487">
        <v>0.225122498326016</v>
      </c>
    </row>
    <row r="1859" spans="1:7" x14ac:dyDescent="0.3">
      <c r="A1859" s="6" t="s">
        <v>6510</v>
      </c>
      <c r="B1859" s="6"/>
      <c r="C1859" s="1480">
        <v>2</v>
      </c>
      <c r="D1859" s="1480">
        <v>118.372701787213</v>
      </c>
      <c r="E1859" s="1481">
        <v>119.61573614894201</v>
      </c>
      <c r="F1859" s="1482">
        <v>0.20011632210877001</v>
      </c>
      <c r="G1859" s="1483">
        <v>0.20881117290224299</v>
      </c>
    </row>
    <row r="1860" spans="1:7" x14ac:dyDescent="0.3">
      <c r="A1860" s="11" t="s">
        <v>6511</v>
      </c>
      <c r="B1860" s="11"/>
      <c r="C1860" s="1484">
        <v>1</v>
      </c>
      <c r="D1860" s="1484">
        <v>96.014631752042703</v>
      </c>
      <c r="E1860" s="1485">
        <v>95.519607334195399</v>
      </c>
      <c r="F1860" s="1486">
        <v>0.16231863161648499</v>
      </c>
      <c r="G1860" s="1487">
        <v>0.166292970116343</v>
      </c>
    </row>
    <row r="1861" spans="1:7" x14ac:dyDescent="0.3">
      <c r="A1861" s="6" t="s">
        <v>6512</v>
      </c>
      <c r="B1861" s="6"/>
      <c r="C1861" s="1480">
        <v>1</v>
      </c>
      <c r="D1861" s="1480">
        <v>57.061638591695299</v>
      </c>
      <c r="E1861" s="1481">
        <v>61.496742547995098</v>
      </c>
      <c r="F1861" s="1482">
        <v>9.6466204420987606E-2</v>
      </c>
      <c r="G1861" s="1483">
        <v>0.10530295316341801</v>
      </c>
    </row>
    <row r="1862" spans="1:7" x14ac:dyDescent="0.3">
      <c r="A1862" s="11" t="s">
        <v>6513</v>
      </c>
      <c r="B1862" s="11"/>
      <c r="C1862" s="1484">
        <v>1</v>
      </c>
      <c r="D1862" s="1484">
        <v>46.275317025033999</v>
      </c>
      <c r="E1862" s="1485">
        <v>48.0965946172144</v>
      </c>
      <c r="F1862" s="1486">
        <v>7.8231265381723994E-2</v>
      </c>
      <c r="G1862" s="1487">
        <v>8.14861083932686E-2</v>
      </c>
    </row>
    <row r="1863" spans="1:7" x14ac:dyDescent="0.3">
      <c r="A1863" s="6" t="s">
        <v>1019</v>
      </c>
      <c r="B1863" s="6" t="s">
        <v>1020</v>
      </c>
      <c r="C1863" s="1480">
        <v>2176</v>
      </c>
      <c r="D1863" s="1480">
        <v>758411.05250274495</v>
      </c>
      <c r="E1863" s="1481">
        <v>8840.8795743112205</v>
      </c>
      <c r="F1863" s="1482">
        <v>100</v>
      </c>
      <c r="G1863" s="1483">
        <v>0</v>
      </c>
    </row>
    <row r="1864" spans="1:7" x14ac:dyDescent="0.3">
      <c r="A1864" s="11" t="s">
        <v>6354</v>
      </c>
      <c r="B1864" s="11" t="s">
        <v>6355</v>
      </c>
      <c r="C1864" s="1484">
        <v>90</v>
      </c>
      <c r="D1864" s="1484">
        <v>59151.947497253001</v>
      </c>
      <c r="E1864" s="1485">
        <v>8840.8795743094997</v>
      </c>
      <c r="F1864" s="1486">
        <v>7.2351546605280701</v>
      </c>
      <c r="G1864" s="1487">
        <v>1.08136982401474</v>
      </c>
    </row>
    <row r="1865" spans="1:7" x14ac:dyDescent="0.3">
      <c r="A1865" s="6" t="s">
        <v>6354</v>
      </c>
      <c r="B1865" s="6" t="s">
        <v>6356</v>
      </c>
      <c r="C1865" s="1480">
        <v>2266</v>
      </c>
      <c r="D1865" s="1480">
        <v>817562.99999999802</v>
      </c>
      <c r="E1865" s="1481">
        <v>0</v>
      </c>
      <c r="F1865" s="1482">
        <v>100</v>
      </c>
      <c r="G1865" s="1483">
        <v>0</v>
      </c>
    </row>
    <row r="1866" spans="1:7" x14ac:dyDescent="0.3">
      <c r="A1866" s="3449" t="s">
        <v>1007</v>
      </c>
      <c r="B1866" s="3450"/>
      <c r="C1866" s="3450"/>
      <c r="D1866" s="3450"/>
      <c r="E1866" s="3450"/>
      <c r="F1866" s="3450"/>
      <c r="G1866" s="3450"/>
    </row>
    <row r="1867" spans="1:7" x14ac:dyDescent="0.3">
      <c r="A1867" s="11" t="s">
        <v>1019</v>
      </c>
      <c r="B1867" s="11" t="s">
        <v>1020</v>
      </c>
      <c r="C1867" s="1492">
        <v>2274</v>
      </c>
      <c r="D1867" s="1492">
        <v>817562.99999999802</v>
      </c>
      <c r="E1867" s="1493">
        <v>2.25238829148147E-8</v>
      </c>
      <c r="F1867" s="1494">
        <v>100</v>
      </c>
      <c r="G1867" s="1495">
        <v>0</v>
      </c>
    </row>
    <row r="1868" spans="1:7" x14ac:dyDescent="0.3">
      <c r="A1868" s="6" t="s">
        <v>6354</v>
      </c>
      <c r="B1868" s="6" t="s">
        <v>6355</v>
      </c>
      <c r="C1868" s="1488">
        <v>0</v>
      </c>
      <c r="D1868" s="1488">
        <v>0</v>
      </c>
      <c r="E1868" s="1489">
        <v>0</v>
      </c>
      <c r="F1868" s="1490">
        <v>0</v>
      </c>
      <c r="G1868" s="1491">
        <v>0</v>
      </c>
    </row>
    <row r="1869" spans="1:7" x14ac:dyDescent="0.3">
      <c r="A1869" s="11" t="s">
        <v>6354</v>
      </c>
      <c r="B1869" s="11" t="s">
        <v>6356</v>
      </c>
      <c r="C1869" s="1492">
        <v>2274</v>
      </c>
      <c r="D1869" s="1492">
        <v>817562.99999999802</v>
      </c>
      <c r="E1869" s="1493">
        <v>0</v>
      </c>
      <c r="F1869" s="1494">
        <v>100</v>
      </c>
      <c r="G1869" s="1495">
        <v>0</v>
      </c>
    </row>
    <row r="1870" spans="1:7" x14ac:dyDescent="0.3">
      <c r="A1870" s="3449" t="s">
        <v>999</v>
      </c>
      <c r="B1870" s="3450"/>
      <c r="C1870" s="3450"/>
      <c r="D1870" s="3450"/>
      <c r="E1870" s="3450"/>
      <c r="F1870" s="3450"/>
      <c r="G1870" s="3450"/>
    </row>
    <row r="1871" spans="1:7" x14ac:dyDescent="0.3">
      <c r="A1871" s="11" t="s">
        <v>1019</v>
      </c>
      <c r="B1871" s="11" t="s">
        <v>1020</v>
      </c>
      <c r="C1871" s="1500">
        <v>453</v>
      </c>
      <c r="D1871" s="1500">
        <v>233935.01140795901</v>
      </c>
      <c r="E1871" s="1501">
        <v>9035.2563161316102</v>
      </c>
      <c r="F1871" s="1502">
        <v>55.164903216543301</v>
      </c>
      <c r="G1871" s="1503">
        <v>1.6903525564105799</v>
      </c>
    </row>
    <row r="1872" spans="1:7" x14ac:dyDescent="0.3">
      <c r="A1872" s="6" t="s">
        <v>1213</v>
      </c>
      <c r="B1872" s="6" t="s">
        <v>1016</v>
      </c>
      <c r="C1872" s="1496">
        <v>469</v>
      </c>
      <c r="D1872" s="1496">
        <v>173961.49902923801</v>
      </c>
      <c r="E1872" s="1497">
        <v>12695.673431945899</v>
      </c>
      <c r="F1872" s="1498">
        <v>41.022372835920898</v>
      </c>
      <c r="G1872" s="1499">
        <v>1.6759802627271301</v>
      </c>
    </row>
    <row r="1873" spans="1:7" x14ac:dyDescent="0.3">
      <c r="A1873" s="11" t="s">
        <v>1214</v>
      </c>
      <c r="B1873" s="11" t="s">
        <v>1086</v>
      </c>
      <c r="C1873" s="1500">
        <v>31</v>
      </c>
      <c r="D1873" s="1500">
        <v>15026.4908107466</v>
      </c>
      <c r="E1873" s="1501">
        <v>5511.9496600686798</v>
      </c>
      <c r="F1873" s="1502">
        <v>3.54344100214028</v>
      </c>
      <c r="G1873" s="1503">
        <v>1.17528570487062</v>
      </c>
    </row>
    <row r="1874" spans="1:7" x14ac:dyDescent="0.3">
      <c r="A1874" s="6" t="s">
        <v>1017</v>
      </c>
      <c r="B1874" s="6" t="s">
        <v>1086</v>
      </c>
      <c r="C1874" s="1496">
        <v>1</v>
      </c>
      <c r="D1874" s="1496">
        <v>1141.93454950504</v>
      </c>
      <c r="E1874" s="1497">
        <v>1137.36372917533</v>
      </c>
      <c r="F1874" s="1498">
        <v>0.26928294539553099</v>
      </c>
      <c r="G1874" s="1499">
        <v>0.26635899291958998</v>
      </c>
    </row>
    <row r="1875" spans="1:7" x14ac:dyDescent="0.3">
      <c r="A1875" s="11" t="s">
        <v>6354</v>
      </c>
      <c r="B1875" s="11" t="s">
        <v>6355</v>
      </c>
      <c r="C1875" s="1500">
        <v>1305</v>
      </c>
      <c r="D1875" s="1500">
        <v>393498.06420254998</v>
      </c>
      <c r="E1875" s="1501">
        <v>22981.902091774002</v>
      </c>
      <c r="F1875" s="1502">
        <v>48.1306106321532</v>
      </c>
      <c r="G1875" s="1503">
        <v>2.81102521662234</v>
      </c>
    </row>
    <row r="1876" spans="1:7" x14ac:dyDescent="0.3">
      <c r="A1876" s="6" t="s">
        <v>6354</v>
      </c>
      <c r="B1876" s="6" t="s">
        <v>6356</v>
      </c>
      <c r="C1876" s="1496">
        <v>2259</v>
      </c>
      <c r="D1876" s="1496">
        <v>817562.99999999895</v>
      </c>
      <c r="E1876" s="1497">
        <v>0</v>
      </c>
      <c r="F1876" s="1498">
        <v>100</v>
      </c>
      <c r="G1876" s="1499">
        <v>0</v>
      </c>
    </row>
    <row r="1877" spans="1:7" x14ac:dyDescent="0.3">
      <c r="A1877" s="3449" t="s">
        <v>878</v>
      </c>
      <c r="B1877" s="3450"/>
      <c r="C1877" s="3450"/>
      <c r="D1877" s="3450"/>
      <c r="E1877" s="3450"/>
      <c r="F1877" s="3450"/>
      <c r="G1877" s="3450"/>
    </row>
    <row r="1878" spans="1:7" x14ac:dyDescent="0.3">
      <c r="A1878" s="11" t="s">
        <v>1021</v>
      </c>
      <c r="B1878" s="11" t="s">
        <v>1106</v>
      </c>
      <c r="C1878" s="1508">
        <v>240</v>
      </c>
      <c r="D1878" s="1508">
        <v>62506.143347562203</v>
      </c>
      <c r="E1878" s="1509">
        <v>4289.3627863331803</v>
      </c>
      <c r="F1878" s="1510">
        <v>99.164137612933999</v>
      </c>
      <c r="G1878" s="1511">
        <v>0.72586115059128198</v>
      </c>
    </row>
    <row r="1879" spans="1:7" x14ac:dyDescent="0.3">
      <c r="A1879" s="6" t="s">
        <v>1023</v>
      </c>
      <c r="B1879" s="6" t="s">
        <v>1107</v>
      </c>
      <c r="C1879" s="1504">
        <v>2</v>
      </c>
      <c r="D1879" s="1504">
        <v>526.86924368479094</v>
      </c>
      <c r="E1879" s="1505">
        <v>451.10659540780398</v>
      </c>
      <c r="F1879" s="1506">
        <v>0.83586238706597105</v>
      </c>
      <c r="G1879" s="1507">
        <v>0.72586115059127998</v>
      </c>
    </row>
    <row r="1880" spans="1:7" x14ac:dyDescent="0.3">
      <c r="A1880" s="11" t="s">
        <v>1019</v>
      </c>
      <c r="B1880" s="11" t="s">
        <v>1020</v>
      </c>
      <c r="C1880" s="1508">
        <v>2032</v>
      </c>
      <c r="D1880" s="1508">
        <v>754529.98740875197</v>
      </c>
      <c r="E1880" s="1509">
        <v>4066.4895173281402</v>
      </c>
      <c r="F1880" s="1510">
        <v>100</v>
      </c>
      <c r="G1880" s="1511">
        <v>0</v>
      </c>
    </row>
    <row r="1881" spans="1:7" x14ac:dyDescent="0.3">
      <c r="A1881" s="6" t="s">
        <v>6354</v>
      </c>
      <c r="B1881" s="6" t="s">
        <v>6355</v>
      </c>
      <c r="C1881" s="1504">
        <v>242</v>
      </c>
      <c r="D1881" s="1504">
        <v>63033.012591247003</v>
      </c>
      <c r="E1881" s="1505">
        <v>4066.4895173280902</v>
      </c>
      <c r="F1881" s="1506">
        <v>7.7098661009912401</v>
      </c>
      <c r="G1881" s="1507">
        <v>0.49739157928234101</v>
      </c>
    </row>
    <row r="1882" spans="1:7" x14ac:dyDescent="0.3">
      <c r="A1882" s="11" t="s">
        <v>6354</v>
      </c>
      <c r="B1882" s="11" t="s">
        <v>6356</v>
      </c>
      <c r="C1882" s="1508">
        <v>2274</v>
      </c>
      <c r="D1882" s="1508">
        <v>817562.99999999895</v>
      </c>
      <c r="E1882" s="1509">
        <v>0</v>
      </c>
      <c r="F1882" s="1510">
        <v>100</v>
      </c>
      <c r="G1882" s="1511">
        <v>0</v>
      </c>
    </row>
    <row r="1883" spans="1:7" x14ac:dyDescent="0.3">
      <c r="A1883" s="3449" t="s">
        <v>997</v>
      </c>
      <c r="B1883" s="3450"/>
      <c r="C1883" s="3450"/>
      <c r="D1883" s="3450"/>
      <c r="E1883" s="3450"/>
      <c r="F1883" s="3450"/>
      <c r="G1883" s="3450"/>
    </row>
    <row r="1884" spans="1:7" x14ac:dyDescent="0.3">
      <c r="A1884" s="11" t="s">
        <v>1021</v>
      </c>
      <c r="B1884" s="11" t="s">
        <v>1208</v>
      </c>
      <c r="C1884" s="1516">
        <v>191</v>
      </c>
      <c r="D1884" s="1516">
        <v>77403.987485859601</v>
      </c>
      <c r="E1884" s="1517">
        <v>6925.3570777538198</v>
      </c>
      <c r="F1884" s="1518">
        <v>42.001895593430397</v>
      </c>
      <c r="G1884" s="1519">
        <v>3.8381492194150302</v>
      </c>
    </row>
    <row r="1885" spans="1:7" x14ac:dyDescent="0.3">
      <c r="A1885" s="6" t="s">
        <v>1023</v>
      </c>
      <c r="B1885" s="6" t="s">
        <v>1209</v>
      </c>
      <c r="C1885" s="1512">
        <v>129</v>
      </c>
      <c r="D1885" s="1512">
        <v>45048.040085437999</v>
      </c>
      <c r="E1885" s="1513">
        <v>5367.3138376851803</v>
      </c>
      <c r="F1885" s="1514">
        <v>24.444516850025199</v>
      </c>
      <c r="G1885" s="1515">
        <v>2.1743242330550601</v>
      </c>
    </row>
    <row r="1886" spans="1:7" x14ac:dyDescent="0.3">
      <c r="A1886" s="11" t="s">
        <v>1025</v>
      </c>
      <c r="B1886" s="11" t="s">
        <v>1210</v>
      </c>
      <c r="C1886" s="1516">
        <v>83</v>
      </c>
      <c r="D1886" s="1516">
        <v>33725.791114020103</v>
      </c>
      <c r="E1886" s="1517">
        <v>9136.1826581884197</v>
      </c>
      <c r="F1886" s="1518">
        <v>18.300700043853599</v>
      </c>
      <c r="G1886" s="1519">
        <v>3.8302895053935</v>
      </c>
    </row>
    <row r="1887" spans="1:7" x14ac:dyDescent="0.3">
      <c r="A1887" s="6" t="s">
        <v>1027</v>
      </c>
      <c r="B1887" s="6" t="s">
        <v>1211</v>
      </c>
      <c r="C1887" s="1512">
        <v>58</v>
      </c>
      <c r="D1887" s="1512">
        <v>16469.440583119002</v>
      </c>
      <c r="E1887" s="1513">
        <v>3372.7910799482202</v>
      </c>
      <c r="F1887" s="1514">
        <v>8.9368486860026692</v>
      </c>
      <c r="G1887" s="1515">
        <v>1.3321276999629199</v>
      </c>
    </row>
    <row r="1888" spans="1:7" x14ac:dyDescent="0.3">
      <c r="A1888" s="11" t="s">
        <v>1029</v>
      </c>
      <c r="B1888" s="11" t="s">
        <v>6197</v>
      </c>
      <c r="C1888" s="1516">
        <v>29</v>
      </c>
      <c r="D1888" s="1516">
        <v>11639.631578381501</v>
      </c>
      <c r="E1888" s="1517">
        <v>3660.3719086218598</v>
      </c>
      <c r="F1888" s="1518">
        <v>6.3160388266881604</v>
      </c>
      <c r="G1888" s="1519">
        <v>2.39787079399657</v>
      </c>
    </row>
    <row r="1889" spans="1:7" x14ac:dyDescent="0.3">
      <c r="A1889" s="6" t="s">
        <v>1019</v>
      </c>
      <c r="B1889" s="6" t="s">
        <v>1020</v>
      </c>
      <c r="C1889" s="1512">
        <v>1772</v>
      </c>
      <c r="D1889" s="1512">
        <v>627433.07561050903</v>
      </c>
      <c r="E1889" s="1513">
        <v>16163.2809158207</v>
      </c>
      <c r="F1889" s="1514">
        <v>99.077332389739894</v>
      </c>
      <c r="G1889" s="1515">
        <v>0.46786890809270898</v>
      </c>
    </row>
    <row r="1890" spans="1:7" x14ac:dyDescent="0.3">
      <c r="A1890" s="11" t="s">
        <v>1015</v>
      </c>
      <c r="B1890" s="11" t="s">
        <v>1016</v>
      </c>
      <c r="C1890" s="1516">
        <v>8</v>
      </c>
      <c r="D1890" s="1516">
        <v>3057.52271959686</v>
      </c>
      <c r="E1890" s="1517">
        <v>2377.77153024979</v>
      </c>
      <c r="F1890" s="1518">
        <v>0.482810369032457</v>
      </c>
      <c r="G1890" s="1519">
        <v>0.37155957149785301</v>
      </c>
    </row>
    <row r="1891" spans="1:7" x14ac:dyDescent="0.3">
      <c r="A1891" s="6" t="s">
        <v>1017</v>
      </c>
      <c r="B1891" s="6" t="s">
        <v>1018</v>
      </c>
      <c r="C1891" s="1512">
        <v>4</v>
      </c>
      <c r="D1891" s="1512">
        <v>2785.5108230748201</v>
      </c>
      <c r="E1891" s="1513">
        <v>2613.03447405323</v>
      </c>
      <c r="F1891" s="1514">
        <v>0.43985724122762498</v>
      </c>
      <c r="G1891" s="1515">
        <v>0.41355516737696801</v>
      </c>
    </row>
    <row r="1892" spans="1:7" x14ac:dyDescent="0.3">
      <c r="A1892" s="11" t="s">
        <v>6354</v>
      </c>
      <c r="B1892" s="11" t="s">
        <v>6355</v>
      </c>
      <c r="C1892" s="1516">
        <v>490</v>
      </c>
      <c r="D1892" s="1516">
        <v>184286.89084681799</v>
      </c>
      <c r="E1892" s="1517">
        <v>15460.2944719152</v>
      </c>
      <c r="F1892" s="1518">
        <v>22.541001836778101</v>
      </c>
      <c r="G1892" s="1519">
        <v>1.8910217893807799</v>
      </c>
    </row>
    <row r="1893" spans="1:7" x14ac:dyDescent="0.3">
      <c r="A1893" s="6" t="s">
        <v>6354</v>
      </c>
      <c r="B1893" s="6" t="s">
        <v>6356</v>
      </c>
      <c r="C1893" s="1512">
        <v>2274</v>
      </c>
      <c r="D1893" s="1512">
        <v>817562.99999999895</v>
      </c>
      <c r="E1893" s="1513">
        <v>0</v>
      </c>
      <c r="F1893" s="1514">
        <v>100</v>
      </c>
      <c r="G1893" s="1515">
        <v>0</v>
      </c>
    </row>
    <row r="1894" spans="1:7" x14ac:dyDescent="0.3">
      <c r="A1894" s="3449" t="s">
        <v>541</v>
      </c>
      <c r="B1894" s="3450"/>
      <c r="C1894" s="3450"/>
      <c r="D1894" s="3450"/>
      <c r="E1894" s="3450"/>
      <c r="F1894" s="3450"/>
      <c r="G1894" s="3450"/>
    </row>
    <row r="1895" spans="1:7" x14ac:dyDescent="0.3">
      <c r="A1895" s="11" t="s">
        <v>1021</v>
      </c>
      <c r="B1895" s="11" t="s">
        <v>6061</v>
      </c>
      <c r="C1895" s="1524">
        <v>1506</v>
      </c>
      <c r="D1895" s="1524">
        <v>470996.38695924799</v>
      </c>
      <c r="E1895" s="1525">
        <v>9215.7849089555893</v>
      </c>
      <c r="F1895" s="1526">
        <v>57.609797282808501</v>
      </c>
      <c r="G1895" s="1527">
        <v>1.1272262698967399</v>
      </c>
    </row>
    <row r="1896" spans="1:7" x14ac:dyDescent="0.3">
      <c r="A1896" s="6" t="s">
        <v>1023</v>
      </c>
      <c r="B1896" s="6" t="s">
        <v>6062</v>
      </c>
      <c r="C1896" s="1520">
        <v>768</v>
      </c>
      <c r="D1896" s="1520">
        <v>346566.61304075201</v>
      </c>
      <c r="E1896" s="1521">
        <v>9215.7849089561405</v>
      </c>
      <c r="F1896" s="1522">
        <v>42.3902027171914</v>
      </c>
      <c r="G1896" s="1523">
        <v>1.1272262698967399</v>
      </c>
    </row>
    <row r="1897" spans="1:7" x14ac:dyDescent="0.3">
      <c r="A1897" s="11" t="s">
        <v>6354</v>
      </c>
      <c r="B1897" s="11" t="s">
        <v>6355</v>
      </c>
      <c r="C1897" s="1524">
        <v>2274</v>
      </c>
      <c r="D1897" s="1524">
        <v>817563.00000000105</v>
      </c>
      <c r="E1897" s="1525">
        <v>5.1879975840349699E-9</v>
      </c>
      <c r="F1897" s="1526">
        <v>100</v>
      </c>
      <c r="G1897" s="1527">
        <v>3.8459253727671303E-14</v>
      </c>
    </row>
    <row r="1898" spans="1:7" x14ac:dyDescent="0.3">
      <c r="A1898" s="6" t="s">
        <v>6354</v>
      </c>
      <c r="B1898" s="6" t="s">
        <v>6356</v>
      </c>
      <c r="C1898" s="1520">
        <v>2274</v>
      </c>
      <c r="D1898" s="1520">
        <v>817563.00000000105</v>
      </c>
      <c r="E1898" s="1521">
        <v>0</v>
      </c>
      <c r="F1898" s="1522">
        <v>100</v>
      </c>
      <c r="G1898" s="1523">
        <v>0</v>
      </c>
    </row>
    <row r="1899" spans="1:7" x14ac:dyDescent="0.3">
      <c r="A1899" s="3449" t="s">
        <v>932</v>
      </c>
      <c r="B1899" s="3450"/>
      <c r="C1899" s="3450"/>
      <c r="D1899" s="3450"/>
      <c r="E1899" s="3450"/>
      <c r="F1899" s="3450"/>
      <c r="G1899" s="3450"/>
    </row>
    <row r="1900" spans="1:7" x14ac:dyDescent="0.3">
      <c r="A1900" s="11" t="s">
        <v>1021</v>
      </c>
      <c r="B1900" s="11"/>
      <c r="C1900" s="1532">
        <v>1713</v>
      </c>
      <c r="D1900" s="1532">
        <v>613447.94208823296</v>
      </c>
      <c r="E1900" s="1533">
        <v>6531.7091850674296</v>
      </c>
      <c r="F1900" s="1534">
        <v>75.033721204143603</v>
      </c>
      <c r="G1900" s="1535">
        <v>0.79892426456030297</v>
      </c>
    </row>
    <row r="1901" spans="1:7" x14ac:dyDescent="0.3">
      <c r="A1901" s="6" t="s">
        <v>1023</v>
      </c>
      <c r="B1901" s="6"/>
      <c r="C1901" s="1528">
        <v>441</v>
      </c>
      <c r="D1901" s="1528">
        <v>147411.659513422</v>
      </c>
      <c r="E1901" s="1529">
        <v>9098.9602634783805</v>
      </c>
      <c r="F1901" s="1530">
        <v>18.030617764431899</v>
      </c>
      <c r="G1901" s="1531">
        <v>1.11293689458532</v>
      </c>
    </row>
    <row r="1902" spans="1:7" x14ac:dyDescent="0.3">
      <c r="A1902" s="11" t="s">
        <v>1025</v>
      </c>
      <c r="B1902" s="11"/>
      <c r="C1902" s="1532">
        <v>90</v>
      </c>
      <c r="D1902" s="1532">
        <v>39615.017737021997</v>
      </c>
      <c r="E1902" s="1533">
        <v>5714.0498721026397</v>
      </c>
      <c r="F1902" s="1534">
        <v>4.8455003145961903</v>
      </c>
      <c r="G1902" s="1535">
        <v>0.69891248406576401</v>
      </c>
    </row>
    <row r="1903" spans="1:7" x14ac:dyDescent="0.3">
      <c r="A1903" s="6" t="s">
        <v>1027</v>
      </c>
      <c r="B1903" s="6"/>
      <c r="C1903" s="1528">
        <v>22</v>
      </c>
      <c r="D1903" s="1528">
        <v>11751.248157989799</v>
      </c>
      <c r="E1903" s="1529">
        <v>1809.37013035881</v>
      </c>
      <c r="F1903" s="1530">
        <v>1.43735078006096</v>
      </c>
      <c r="G1903" s="1531">
        <v>0.22131262426978701</v>
      </c>
    </row>
    <row r="1904" spans="1:7" x14ac:dyDescent="0.3">
      <c r="A1904" s="11" t="s">
        <v>1029</v>
      </c>
      <c r="B1904" s="11"/>
      <c r="C1904" s="1532">
        <v>4</v>
      </c>
      <c r="D1904" s="1532">
        <v>3104.0640503897898</v>
      </c>
      <c r="E1904" s="1533">
        <v>1982.8477442708099</v>
      </c>
      <c r="F1904" s="1534">
        <v>0.37967276532692801</v>
      </c>
      <c r="G1904" s="1535">
        <v>0.24253149228509799</v>
      </c>
    </row>
    <row r="1905" spans="1:7" x14ac:dyDescent="0.3">
      <c r="A1905" s="6" t="s">
        <v>1031</v>
      </c>
      <c r="B1905" s="6"/>
      <c r="C1905" s="1528">
        <v>4</v>
      </c>
      <c r="D1905" s="1528">
        <v>2233.0684529433902</v>
      </c>
      <c r="E1905" s="1529">
        <v>2144.6913841565201</v>
      </c>
      <c r="F1905" s="1530">
        <v>0.27313717144041399</v>
      </c>
      <c r="G1905" s="1531">
        <v>0.262327353874444</v>
      </c>
    </row>
    <row r="1906" spans="1:7" x14ac:dyDescent="0.3">
      <c r="A1906" s="11" t="s">
        <v>6354</v>
      </c>
      <c r="B1906" s="11" t="s">
        <v>6355</v>
      </c>
      <c r="C1906" s="1532">
        <v>2274</v>
      </c>
      <c r="D1906" s="1532">
        <v>817563</v>
      </c>
      <c r="E1906" s="1533">
        <v>5.7082525727060698E-9</v>
      </c>
      <c r="F1906" s="1534">
        <v>100</v>
      </c>
      <c r="G1906" s="1535">
        <v>9.96553828182772E-14</v>
      </c>
    </row>
    <row r="1907" spans="1:7" x14ac:dyDescent="0.3">
      <c r="A1907" s="6" t="s">
        <v>6354</v>
      </c>
      <c r="B1907" s="6" t="s">
        <v>6356</v>
      </c>
      <c r="C1907" s="1528">
        <v>2274</v>
      </c>
      <c r="D1907" s="1528">
        <v>817563</v>
      </c>
      <c r="E1907" s="1529">
        <v>0</v>
      </c>
      <c r="F1907" s="1530">
        <v>100</v>
      </c>
      <c r="G1907" s="1531">
        <v>0</v>
      </c>
    </row>
    <row r="1908" spans="1:7" x14ac:dyDescent="0.3">
      <c r="A1908" s="3449" t="s">
        <v>844</v>
      </c>
      <c r="B1908" s="3450"/>
      <c r="C1908" s="3450"/>
      <c r="D1908" s="3450"/>
      <c r="E1908" s="3450"/>
      <c r="F1908" s="3450"/>
      <c r="G1908" s="3450"/>
    </row>
    <row r="1909" spans="1:7" x14ac:dyDescent="0.3">
      <c r="A1909" s="11" t="s">
        <v>1023</v>
      </c>
      <c r="B1909" s="11" t="s">
        <v>1198</v>
      </c>
      <c r="C1909" s="1540">
        <v>2115</v>
      </c>
      <c r="D1909" s="1540">
        <v>718323.65160537197</v>
      </c>
      <c r="E1909" s="1541">
        <v>4709.7784181792304</v>
      </c>
      <c r="F1909" s="1542">
        <v>94.948573734459899</v>
      </c>
      <c r="G1909" s="1543">
        <v>0.46280008604628697</v>
      </c>
    </row>
    <row r="1910" spans="1:7" x14ac:dyDescent="0.3">
      <c r="A1910" s="6" t="s">
        <v>1021</v>
      </c>
      <c r="B1910" s="6" t="s">
        <v>1106</v>
      </c>
      <c r="C1910" s="1536">
        <v>64</v>
      </c>
      <c r="D1910" s="1536">
        <v>38216.044940558597</v>
      </c>
      <c r="E1910" s="1537">
        <v>3473.0821949214501</v>
      </c>
      <c r="F1910" s="1538">
        <v>5.0514262655401101</v>
      </c>
      <c r="G1910" s="1539">
        <v>0.46280008604628697</v>
      </c>
    </row>
    <row r="1911" spans="1:7" x14ac:dyDescent="0.3">
      <c r="A1911" s="11" t="s">
        <v>1019</v>
      </c>
      <c r="B1911" s="11"/>
      <c r="C1911" s="1540">
        <v>93</v>
      </c>
      <c r="D1911" s="1540">
        <v>58538.954788752002</v>
      </c>
      <c r="E1911" s="1541">
        <v>0.34436598578877903</v>
      </c>
      <c r="F1911" s="1542">
        <v>95.928852545345194</v>
      </c>
      <c r="G1911" s="1543">
        <v>4.1912183313225198</v>
      </c>
    </row>
    <row r="1912" spans="1:7" x14ac:dyDescent="0.3">
      <c r="A1912" s="6" t="s">
        <v>1017</v>
      </c>
      <c r="B1912" s="6" t="s">
        <v>1086</v>
      </c>
      <c r="C1912" s="1536">
        <v>2</v>
      </c>
      <c r="D1912" s="1536">
        <v>2484.3486653165701</v>
      </c>
      <c r="E1912" s="1537">
        <v>2585.66200210631</v>
      </c>
      <c r="F1912" s="1538">
        <v>4.0711474546547697</v>
      </c>
      <c r="G1912" s="1539">
        <v>4.1912183313225198</v>
      </c>
    </row>
    <row r="1913" spans="1:7" x14ac:dyDescent="0.3">
      <c r="A1913" s="11" t="s">
        <v>6354</v>
      </c>
      <c r="B1913" s="11" t="s">
        <v>6355</v>
      </c>
      <c r="C1913" s="1540">
        <v>2179</v>
      </c>
      <c r="D1913" s="1540">
        <v>756539.69654593</v>
      </c>
      <c r="E1913" s="1541">
        <v>2585.6683067095601</v>
      </c>
      <c r="F1913" s="1542">
        <v>92.535950935393501</v>
      </c>
      <c r="G1913" s="1543">
        <v>0.31626532838573801</v>
      </c>
    </row>
    <row r="1914" spans="1:7" x14ac:dyDescent="0.3">
      <c r="A1914" s="6" t="s">
        <v>6354</v>
      </c>
      <c r="B1914" s="6" t="s">
        <v>6356</v>
      </c>
      <c r="C1914" s="1536">
        <v>2274</v>
      </c>
      <c r="D1914" s="1536">
        <v>817562.99999999895</v>
      </c>
      <c r="E1914" s="1537">
        <v>0</v>
      </c>
      <c r="F1914" s="1538">
        <v>100</v>
      </c>
      <c r="G1914" s="1539">
        <v>0</v>
      </c>
    </row>
    <row r="1915" spans="1:7" x14ac:dyDescent="0.3">
      <c r="A1915" s="3449" t="s">
        <v>842</v>
      </c>
      <c r="B1915" s="3450"/>
      <c r="C1915" s="3450"/>
      <c r="D1915" s="3450"/>
      <c r="E1915" s="3450"/>
      <c r="F1915" s="3450"/>
      <c r="G1915" s="3450"/>
    </row>
    <row r="1916" spans="1:7" x14ac:dyDescent="0.3">
      <c r="A1916" s="11" t="s">
        <v>1023</v>
      </c>
      <c r="B1916" s="11" t="s">
        <v>1198</v>
      </c>
      <c r="C1916" s="1548">
        <v>2261</v>
      </c>
      <c r="D1916" s="1548">
        <v>808082.12404042599</v>
      </c>
      <c r="E1916" s="1549">
        <v>3144.6588370333202</v>
      </c>
      <c r="F1916" s="1550">
        <v>98.840349189044503</v>
      </c>
      <c r="G1916" s="1551">
        <v>0.38463810581368402</v>
      </c>
    </row>
    <row r="1917" spans="1:7" x14ac:dyDescent="0.3">
      <c r="A1917" s="6" t="s">
        <v>1021</v>
      </c>
      <c r="B1917" s="6" t="s">
        <v>1106</v>
      </c>
      <c r="C1917" s="1544">
        <v>13</v>
      </c>
      <c r="D1917" s="1544">
        <v>9480.8759595720603</v>
      </c>
      <c r="E1917" s="1545">
        <v>3144.6588370334598</v>
      </c>
      <c r="F1917" s="1546">
        <v>1.1596508109554999</v>
      </c>
      <c r="G1917" s="1547">
        <v>0.38463810581367602</v>
      </c>
    </row>
    <row r="1918" spans="1:7" x14ac:dyDescent="0.3">
      <c r="A1918" s="11" t="s">
        <v>6354</v>
      </c>
      <c r="B1918" s="11" t="s">
        <v>6355</v>
      </c>
      <c r="C1918" s="1548">
        <v>2274</v>
      </c>
      <c r="D1918" s="1548">
        <v>817562.99999999802</v>
      </c>
      <c r="E1918" s="1549">
        <v>2.2559955780519801E-8</v>
      </c>
      <c r="F1918" s="1550">
        <v>100</v>
      </c>
      <c r="G1918" s="1551">
        <v>2.29838001744816E-14</v>
      </c>
    </row>
    <row r="1919" spans="1:7" x14ac:dyDescent="0.3">
      <c r="A1919" s="6" t="s">
        <v>6354</v>
      </c>
      <c r="B1919" s="6" t="s">
        <v>6356</v>
      </c>
      <c r="C1919" s="1544">
        <v>2274</v>
      </c>
      <c r="D1919" s="1544">
        <v>817562.99999999802</v>
      </c>
      <c r="E1919" s="1545">
        <v>0</v>
      </c>
      <c r="F1919" s="1546">
        <v>100</v>
      </c>
      <c r="G1919" s="1547">
        <v>0</v>
      </c>
    </row>
    <row r="1920" spans="1:7" x14ac:dyDescent="0.3">
      <c r="A1920" s="3449" t="s">
        <v>623</v>
      </c>
      <c r="B1920" s="3450"/>
      <c r="C1920" s="3450"/>
      <c r="D1920" s="3450"/>
      <c r="E1920" s="3450"/>
      <c r="F1920" s="3450"/>
      <c r="G1920" s="3450"/>
    </row>
    <row r="1921" spans="1:7" x14ac:dyDescent="0.3">
      <c r="A1921" s="11" t="s">
        <v>1052</v>
      </c>
      <c r="B1921" s="11" t="s">
        <v>1083</v>
      </c>
      <c r="C1921" s="1556">
        <v>98</v>
      </c>
      <c r="D1921" s="1556">
        <v>20459.346339947799</v>
      </c>
      <c r="E1921" s="1557">
        <v>5947.8023371216505</v>
      </c>
      <c r="F1921" s="1558">
        <v>20.424896125051902</v>
      </c>
      <c r="G1921" s="1559">
        <v>6.6440890833016599</v>
      </c>
    </row>
    <row r="1922" spans="1:7" x14ac:dyDescent="0.3">
      <c r="A1922" s="6" t="s">
        <v>1021</v>
      </c>
      <c r="B1922" s="6" t="s">
        <v>6088</v>
      </c>
      <c r="C1922" s="1552">
        <v>45</v>
      </c>
      <c r="D1922" s="1552">
        <v>14534.544637605501</v>
      </c>
      <c r="E1922" s="1553">
        <v>4860.4370295551798</v>
      </c>
      <c r="F1922" s="1554">
        <v>14.510070826083901</v>
      </c>
      <c r="G1922" s="1555">
        <v>4.4774189388689303</v>
      </c>
    </row>
    <row r="1923" spans="1:7" x14ac:dyDescent="0.3">
      <c r="A1923" s="11" t="s">
        <v>1023</v>
      </c>
      <c r="B1923" s="11" t="s">
        <v>6089</v>
      </c>
      <c r="C1923" s="1556">
        <v>40</v>
      </c>
      <c r="D1923" s="1556">
        <v>13981.920051622599</v>
      </c>
      <c r="E1923" s="1557">
        <v>5849.7793708761701</v>
      </c>
      <c r="F1923" s="1558">
        <v>13.958376770110499</v>
      </c>
      <c r="G1923" s="1559">
        <v>5.3216581446433997</v>
      </c>
    </row>
    <row r="1924" spans="1:7" x14ac:dyDescent="0.3">
      <c r="A1924" s="6" t="s">
        <v>1040</v>
      </c>
      <c r="B1924" s="6" t="s">
        <v>6094</v>
      </c>
      <c r="C1924" s="1552">
        <v>64</v>
      </c>
      <c r="D1924" s="1552">
        <v>13025.087938254401</v>
      </c>
      <c r="E1924" s="1553">
        <v>3301.2459358375099</v>
      </c>
      <c r="F1924" s="1554">
        <v>13.0031558065502</v>
      </c>
      <c r="G1924" s="1555">
        <v>2.5224291218744601</v>
      </c>
    </row>
    <row r="1925" spans="1:7" x14ac:dyDescent="0.3">
      <c r="A1925" s="11" t="s">
        <v>1031</v>
      </c>
      <c r="B1925" s="11" t="s">
        <v>6093</v>
      </c>
      <c r="C1925" s="1556">
        <v>27</v>
      </c>
      <c r="D1925" s="1556">
        <v>12464.922559127601</v>
      </c>
      <c r="E1925" s="1557">
        <v>2747.61155533295</v>
      </c>
      <c r="F1925" s="1558">
        <v>12.4439336549032</v>
      </c>
      <c r="G1925" s="1559">
        <v>3.5214554696612401</v>
      </c>
    </row>
    <row r="1926" spans="1:7" x14ac:dyDescent="0.3">
      <c r="A1926" s="6" t="s">
        <v>1027</v>
      </c>
      <c r="B1926" s="6" t="s">
        <v>6091</v>
      </c>
      <c r="C1926" s="1552">
        <v>31</v>
      </c>
      <c r="D1926" s="1552">
        <v>6308.6087082848198</v>
      </c>
      <c r="E1926" s="1553">
        <v>2574.4950687270798</v>
      </c>
      <c r="F1926" s="1554">
        <v>6.2979860362754998</v>
      </c>
      <c r="G1926" s="1555">
        <v>2.6190321037139199</v>
      </c>
    </row>
    <row r="1927" spans="1:7" x14ac:dyDescent="0.3">
      <c r="A1927" s="11" t="s">
        <v>1042</v>
      </c>
      <c r="B1927" s="11" t="s">
        <v>6095</v>
      </c>
      <c r="C1927" s="1556">
        <v>29</v>
      </c>
      <c r="D1927" s="1556">
        <v>6119.5880084323499</v>
      </c>
      <c r="E1927" s="1557">
        <v>2040.3330160262101</v>
      </c>
      <c r="F1927" s="1558">
        <v>6.1092836165685096</v>
      </c>
      <c r="G1927" s="1559">
        <v>2.06540884290993</v>
      </c>
    </row>
    <row r="1928" spans="1:7" x14ac:dyDescent="0.3">
      <c r="A1928" s="6" t="s">
        <v>1061</v>
      </c>
      <c r="B1928" s="6" t="s">
        <v>6096</v>
      </c>
      <c r="C1928" s="1552">
        <v>9</v>
      </c>
      <c r="D1928" s="1552">
        <v>5845.6714207950199</v>
      </c>
      <c r="E1928" s="1553">
        <v>3373.8008926083298</v>
      </c>
      <c r="F1928" s="1554">
        <v>5.8358282599573803</v>
      </c>
      <c r="G1928" s="1555">
        <v>3.5965374955320502</v>
      </c>
    </row>
    <row r="1929" spans="1:7" x14ac:dyDescent="0.3">
      <c r="A1929" s="11" t="s">
        <v>1029</v>
      </c>
      <c r="B1929" s="11" t="s">
        <v>6092</v>
      </c>
      <c r="C1929" s="1556">
        <v>14</v>
      </c>
      <c r="D1929" s="1556">
        <v>2985.47454429562</v>
      </c>
      <c r="E1929" s="1557">
        <v>1701.0802036288001</v>
      </c>
      <c r="F1929" s="1558">
        <v>2.9804474902583999</v>
      </c>
      <c r="G1929" s="1559">
        <v>1.50211113458589</v>
      </c>
    </row>
    <row r="1930" spans="1:7" x14ac:dyDescent="0.3">
      <c r="A1930" s="6" t="s">
        <v>1025</v>
      </c>
      <c r="B1930" s="6" t="s">
        <v>6090</v>
      </c>
      <c r="C1930" s="1552">
        <v>7</v>
      </c>
      <c r="D1930" s="1552">
        <v>2574.9195432678498</v>
      </c>
      <c r="E1930" s="1553">
        <v>1497.0874077103899</v>
      </c>
      <c r="F1930" s="1554">
        <v>2.5705837971432599</v>
      </c>
      <c r="G1930" s="1555">
        <v>1.3637298016879</v>
      </c>
    </row>
    <row r="1931" spans="1:7" x14ac:dyDescent="0.3">
      <c r="A1931" s="11" t="s">
        <v>1063</v>
      </c>
      <c r="B1931" s="11" t="s">
        <v>6097</v>
      </c>
      <c r="C1931" s="1556">
        <v>5</v>
      </c>
      <c r="D1931" s="1556">
        <v>1868.58400895104</v>
      </c>
      <c r="E1931" s="1557">
        <v>774.39201088295295</v>
      </c>
      <c r="F1931" s="1558">
        <v>1.86543761709718</v>
      </c>
      <c r="G1931" s="1559">
        <v>0.75846344897025297</v>
      </c>
    </row>
    <row r="1932" spans="1:7" x14ac:dyDescent="0.3">
      <c r="A1932" s="6" t="s">
        <v>1019</v>
      </c>
      <c r="B1932" s="6" t="s">
        <v>1020</v>
      </c>
      <c r="C1932" s="1552">
        <v>1902</v>
      </c>
      <c r="D1932" s="1552">
        <v>715854.54630340403</v>
      </c>
      <c r="E1932" s="1553">
        <v>10276.191424954401</v>
      </c>
      <c r="F1932" s="1554">
        <v>99.7853640784692</v>
      </c>
      <c r="G1932" s="1555">
        <v>0.21152164118945599</v>
      </c>
    </row>
    <row r="1933" spans="1:7" x14ac:dyDescent="0.3">
      <c r="A1933" s="11" t="s">
        <v>1017</v>
      </c>
      <c r="B1933" s="11" t="s">
        <v>1018</v>
      </c>
      <c r="C1933" s="1556">
        <v>1</v>
      </c>
      <c r="D1933" s="1556">
        <v>1342.4141158115301</v>
      </c>
      <c r="E1933" s="1557">
        <v>1489.1813491338</v>
      </c>
      <c r="F1933" s="1558">
        <v>0.18712360210890699</v>
      </c>
      <c r="G1933" s="1559">
        <v>0.208057212935989</v>
      </c>
    </row>
    <row r="1934" spans="1:7" x14ac:dyDescent="0.3">
      <c r="A1934" s="6" t="s">
        <v>1015</v>
      </c>
      <c r="B1934" s="6" t="s">
        <v>1016</v>
      </c>
      <c r="C1934" s="1552">
        <v>2</v>
      </c>
      <c r="D1934" s="1552">
        <v>197.371820199947</v>
      </c>
      <c r="E1934" s="1553">
        <v>210.110370808695</v>
      </c>
      <c r="F1934" s="1554">
        <v>2.7512319421848799E-2</v>
      </c>
      <c r="G1934" s="1555">
        <v>2.9292623530071098E-2</v>
      </c>
    </row>
    <row r="1935" spans="1:7" x14ac:dyDescent="0.3">
      <c r="A1935" s="11" t="s">
        <v>6354</v>
      </c>
      <c r="B1935" s="11" t="s">
        <v>6355</v>
      </c>
      <c r="C1935" s="1556">
        <v>369</v>
      </c>
      <c r="D1935" s="1556">
        <v>100168.667760585</v>
      </c>
      <c r="E1935" s="1557">
        <v>9196.1141990096894</v>
      </c>
      <c r="F1935" s="1558">
        <v>12.2521038452798</v>
      </c>
      <c r="G1935" s="1559">
        <v>1.1248202522630999</v>
      </c>
    </row>
    <row r="1936" spans="1:7" x14ac:dyDescent="0.3">
      <c r="A1936" s="6" t="s">
        <v>6354</v>
      </c>
      <c r="B1936" s="6" t="s">
        <v>6356</v>
      </c>
      <c r="C1936" s="1552">
        <v>2274</v>
      </c>
      <c r="D1936" s="1552">
        <v>817563</v>
      </c>
      <c r="E1936" s="1553">
        <v>0</v>
      </c>
      <c r="F1936" s="1554">
        <v>100</v>
      </c>
      <c r="G1936" s="1555">
        <v>0</v>
      </c>
    </row>
    <row r="1937" spans="1:7" x14ac:dyDescent="0.3">
      <c r="A1937" s="3449" t="s">
        <v>626</v>
      </c>
      <c r="B1937" s="3450"/>
      <c r="C1937" s="3450"/>
      <c r="D1937" s="3450"/>
      <c r="E1937" s="3450"/>
      <c r="F1937" s="3450"/>
      <c r="G1937" s="3450"/>
    </row>
    <row r="1938" spans="1:7" x14ac:dyDescent="0.3">
      <c r="A1938" s="11" t="s">
        <v>6514</v>
      </c>
      <c r="B1938" s="11"/>
      <c r="C1938" s="1564">
        <v>83</v>
      </c>
      <c r="D1938" s="1564">
        <v>16726.967818233101</v>
      </c>
      <c r="E1938" s="1565">
        <v>4560.7815118421704</v>
      </c>
      <c r="F1938" s="1566">
        <v>81.757097906754097</v>
      </c>
      <c r="G1938" s="1567">
        <v>6.0627217947507903</v>
      </c>
    </row>
    <row r="1939" spans="1:7" x14ac:dyDescent="0.3">
      <c r="A1939" s="6" t="s">
        <v>6515</v>
      </c>
      <c r="B1939" s="6"/>
      <c r="C1939" s="1560">
        <v>4</v>
      </c>
      <c r="D1939" s="1560">
        <v>1636.9229861983499</v>
      </c>
      <c r="E1939" s="1561">
        <v>1223.4462156083</v>
      </c>
      <c r="F1939" s="1562">
        <v>8.0008567184875599</v>
      </c>
      <c r="G1939" s="1563">
        <v>5.6746997491250397</v>
      </c>
    </row>
    <row r="1940" spans="1:7" x14ac:dyDescent="0.3">
      <c r="A1940" s="11" t="s">
        <v>6516</v>
      </c>
      <c r="B1940" s="11"/>
      <c r="C1940" s="1564">
        <v>2</v>
      </c>
      <c r="D1940" s="1564">
        <v>1185.68696577182</v>
      </c>
      <c r="E1940" s="1565">
        <v>1535.66817041987</v>
      </c>
      <c r="F1940" s="1566">
        <v>5.7953316106522301</v>
      </c>
      <c r="G1940" s="1567">
        <v>7.3469411550148704</v>
      </c>
    </row>
    <row r="1941" spans="1:7" x14ac:dyDescent="0.3">
      <c r="A1941" s="6" t="s">
        <v>6517</v>
      </c>
      <c r="B1941" s="6"/>
      <c r="C1941" s="1560">
        <v>2</v>
      </c>
      <c r="D1941" s="1560">
        <v>739.27135718666705</v>
      </c>
      <c r="E1941" s="1561">
        <v>602.01420269692301</v>
      </c>
      <c r="F1941" s="1562">
        <v>3.6133674307238501</v>
      </c>
      <c r="G1941" s="1563">
        <v>2.8430217596693401</v>
      </c>
    </row>
    <row r="1942" spans="1:7" x14ac:dyDescent="0.3">
      <c r="A1942" s="11" t="s">
        <v>6518</v>
      </c>
      <c r="B1942" s="11"/>
      <c r="C1942" s="1564">
        <v>1</v>
      </c>
      <c r="D1942" s="1564">
        <v>78.433616926748996</v>
      </c>
      <c r="E1942" s="1565">
        <v>87.210774264100806</v>
      </c>
      <c r="F1942" s="1566">
        <v>0.38336325913601499</v>
      </c>
      <c r="G1942" s="1567">
        <v>0.47567773157392401</v>
      </c>
    </row>
    <row r="1943" spans="1:7" x14ac:dyDescent="0.3">
      <c r="A1943" s="6" t="s">
        <v>6519</v>
      </c>
      <c r="B1943" s="6"/>
      <c r="C1943" s="1560">
        <v>5</v>
      </c>
      <c r="D1943" s="1560">
        <v>61.381810988575999</v>
      </c>
      <c r="E1943" s="1561">
        <v>52.183760238959898</v>
      </c>
      <c r="F1943" s="1562">
        <v>0.30001843640881698</v>
      </c>
      <c r="G1943" s="1563">
        <v>0.28213641532059702</v>
      </c>
    </row>
    <row r="1944" spans="1:7" x14ac:dyDescent="0.3">
      <c r="A1944" s="11" t="s">
        <v>6520</v>
      </c>
      <c r="B1944" s="11"/>
      <c r="C1944" s="1564">
        <v>1</v>
      </c>
      <c r="D1944" s="1564">
        <v>30.6817846426015</v>
      </c>
      <c r="E1944" s="1565">
        <v>34.544613534982801</v>
      </c>
      <c r="F1944" s="1566">
        <v>0.149964637837397</v>
      </c>
      <c r="G1944" s="1567">
        <v>0.18594744364257801</v>
      </c>
    </row>
    <row r="1945" spans="1:7" x14ac:dyDescent="0.3">
      <c r="A1945" s="6" t="s">
        <v>1019</v>
      </c>
      <c r="B1945" s="6" t="s">
        <v>1020</v>
      </c>
      <c r="C1945" s="1560">
        <v>2176</v>
      </c>
      <c r="D1945" s="1560">
        <v>797103.65366005094</v>
      </c>
      <c r="E1945" s="1561">
        <v>5947.8023371212503</v>
      </c>
      <c r="F1945" s="1562">
        <v>100</v>
      </c>
      <c r="G1945" s="1563">
        <v>0</v>
      </c>
    </row>
    <row r="1946" spans="1:7" x14ac:dyDescent="0.3">
      <c r="A1946" s="11" t="s">
        <v>6354</v>
      </c>
      <c r="B1946" s="11" t="s">
        <v>6355</v>
      </c>
      <c r="C1946" s="1564">
        <v>98</v>
      </c>
      <c r="D1946" s="1564">
        <v>20459.346339947799</v>
      </c>
      <c r="E1946" s="1565">
        <v>5947.8023371216404</v>
      </c>
      <c r="F1946" s="1566">
        <v>2.5024794835318902</v>
      </c>
      <c r="G1946" s="1567">
        <v>0.72750385439674103</v>
      </c>
    </row>
    <row r="1947" spans="1:7" x14ac:dyDescent="0.3">
      <c r="A1947" s="6" t="s">
        <v>6354</v>
      </c>
      <c r="B1947" s="6" t="s">
        <v>6356</v>
      </c>
      <c r="C1947" s="1560">
        <v>2274</v>
      </c>
      <c r="D1947" s="1560">
        <v>817562.99999999802</v>
      </c>
      <c r="E1947" s="1561">
        <v>0</v>
      </c>
      <c r="F1947" s="1562">
        <v>100</v>
      </c>
      <c r="G1947" s="1563">
        <v>0</v>
      </c>
    </row>
    <row r="1948" spans="1:7" x14ac:dyDescent="0.3">
      <c r="A1948" s="3449" t="s">
        <v>569</v>
      </c>
      <c r="B1948" s="3450"/>
      <c r="C1948" s="3450"/>
      <c r="D1948" s="3450"/>
      <c r="E1948" s="3450"/>
      <c r="F1948" s="3450"/>
      <c r="G1948" s="3450"/>
    </row>
    <row r="1949" spans="1:7" x14ac:dyDescent="0.3">
      <c r="A1949" s="11" t="s">
        <v>1021</v>
      </c>
      <c r="B1949" s="11" t="s">
        <v>3056</v>
      </c>
      <c r="C1949" s="1572">
        <v>1960</v>
      </c>
      <c r="D1949" s="1572">
        <v>679529.01969546499</v>
      </c>
      <c r="E1949" s="1573">
        <v>13367.0329767443</v>
      </c>
      <c r="F1949" s="1574">
        <v>100</v>
      </c>
      <c r="G1949" s="1575">
        <v>0</v>
      </c>
    </row>
    <row r="1950" spans="1:7" x14ac:dyDescent="0.3">
      <c r="A1950" s="6" t="s">
        <v>1019</v>
      </c>
      <c r="B1950" s="6" t="s">
        <v>1020</v>
      </c>
      <c r="C1950" s="1568">
        <v>314</v>
      </c>
      <c r="D1950" s="1568">
        <v>138033.98030453501</v>
      </c>
      <c r="E1950" s="1569">
        <v>13367.0329767451</v>
      </c>
      <c r="F1950" s="1570">
        <v>100</v>
      </c>
      <c r="G1950" s="1571">
        <v>0</v>
      </c>
    </row>
    <row r="1951" spans="1:7" x14ac:dyDescent="0.3">
      <c r="A1951" s="11" t="s">
        <v>6354</v>
      </c>
      <c r="B1951" s="11" t="s">
        <v>6355</v>
      </c>
      <c r="C1951" s="1572">
        <v>1960</v>
      </c>
      <c r="D1951" s="1572">
        <v>679529.01969546499</v>
      </c>
      <c r="E1951" s="1573">
        <v>13367.0329767443</v>
      </c>
      <c r="F1951" s="1574">
        <v>83.116410563524099</v>
      </c>
      <c r="G1951" s="1575">
        <v>1.6349850686424101</v>
      </c>
    </row>
    <row r="1952" spans="1:7" x14ac:dyDescent="0.3">
      <c r="A1952" s="6" t="s">
        <v>6354</v>
      </c>
      <c r="B1952" s="6" t="s">
        <v>6356</v>
      </c>
      <c r="C1952" s="1568">
        <v>2274</v>
      </c>
      <c r="D1952" s="1568">
        <v>817563</v>
      </c>
      <c r="E1952" s="1569">
        <v>0</v>
      </c>
      <c r="F1952" s="1570">
        <v>100</v>
      </c>
      <c r="G1952" s="1571">
        <v>0</v>
      </c>
    </row>
    <row r="1953" spans="1:7" x14ac:dyDescent="0.3">
      <c r="A1953" s="3449" t="s">
        <v>572</v>
      </c>
      <c r="B1953" s="3450"/>
      <c r="C1953" s="3450"/>
      <c r="D1953" s="3450"/>
      <c r="E1953" s="3450"/>
      <c r="F1953" s="3450"/>
      <c r="G1953" s="3450"/>
    </row>
    <row r="1954" spans="1:7" x14ac:dyDescent="0.3">
      <c r="A1954" s="11" t="s">
        <v>1023</v>
      </c>
      <c r="B1954" s="11" t="s">
        <v>3057</v>
      </c>
      <c r="C1954" s="1580">
        <v>157</v>
      </c>
      <c r="D1954" s="1580">
        <v>92344.298770816196</v>
      </c>
      <c r="E1954" s="1581">
        <v>3494.16673903317</v>
      </c>
      <c r="F1954" s="1582">
        <v>100</v>
      </c>
      <c r="G1954" s="1583">
        <v>0</v>
      </c>
    </row>
    <row r="1955" spans="1:7" x14ac:dyDescent="0.3">
      <c r="A1955" s="6" t="s">
        <v>1019</v>
      </c>
      <c r="B1955" s="6" t="s">
        <v>1020</v>
      </c>
      <c r="C1955" s="1576">
        <v>2117</v>
      </c>
      <c r="D1955" s="1576">
        <v>725218.701229183</v>
      </c>
      <c r="E1955" s="1577">
        <v>3494.16673903315</v>
      </c>
      <c r="F1955" s="1578">
        <v>100</v>
      </c>
      <c r="G1955" s="1579">
        <v>0</v>
      </c>
    </row>
    <row r="1956" spans="1:7" x14ac:dyDescent="0.3">
      <c r="A1956" s="11" t="s">
        <v>6354</v>
      </c>
      <c r="B1956" s="11" t="s">
        <v>6355</v>
      </c>
      <c r="C1956" s="1580">
        <v>157</v>
      </c>
      <c r="D1956" s="1580">
        <v>92344.298770816196</v>
      </c>
      <c r="E1956" s="1581">
        <v>3494.16673903317</v>
      </c>
      <c r="F1956" s="1582">
        <v>11.295068241935599</v>
      </c>
      <c r="G1956" s="1583">
        <v>0.42738807150435698</v>
      </c>
    </row>
    <row r="1957" spans="1:7" x14ac:dyDescent="0.3">
      <c r="A1957" s="6" t="s">
        <v>6354</v>
      </c>
      <c r="B1957" s="6" t="s">
        <v>6356</v>
      </c>
      <c r="C1957" s="1576">
        <v>2274</v>
      </c>
      <c r="D1957" s="1576">
        <v>817563</v>
      </c>
      <c r="E1957" s="1577">
        <v>0</v>
      </c>
      <c r="F1957" s="1578">
        <v>100</v>
      </c>
      <c r="G1957" s="1579">
        <v>0</v>
      </c>
    </row>
    <row r="1958" spans="1:7" x14ac:dyDescent="0.3">
      <c r="A1958" s="3449" t="s">
        <v>574</v>
      </c>
      <c r="B1958" s="3450"/>
      <c r="C1958" s="3450"/>
      <c r="D1958" s="3450"/>
      <c r="E1958" s="3450"/>
      <c r="F1958" s="3450"/>
      <c r="G1958" s="3450"/>
    </row>
    <row r="1959" spans="1:7" x14ac:dyDescent="0.3">
      <c r="A1959" s="11" t="s">
        <v>1025</v>
      </c>
      <c r="B1959" s="11" t="s">
        <v>3058</v>
      </c>
      <c r="C1959" s="1588">
        <v>49</v>
      </c>
      <c r="D1959" s="1588">
        <v>19522.729222835402</v>
      </c>
      <c r="E1959" s="1589">
        <v>9109.9697589713105</v>
      </c>
      <c r="F1959" s="1590">
        <v>100</v>
      </c>
      <c r="G1959" s="1591">
        <v>0</v>
      </c>
    </row>
    <row r="1960" spans="1:7" x14ac:dyDescent="0.3">
      <c r="A1960" s="6" t="s">
        <v>1019</v>
      </c>
      <c r="B1960" s="6" t="s">
        <v>1020</v>
      </c>
      <c r="C1960" s="1584">
        <v>2225</v>
      </c>
      <c r="D1960" s="1584">
        <v>798040.27077716298</v>
      </c>
      <c r="E1960" s="1585">
        <v>9109.9697589714306</v>
      </c>
      <c r="F1960" s="1586">
        <v>100</v>
      </c>
      <c r="G1960" s="1587">
        <v>0</v>
      </c>
    </row>
    <row r="1961" spans="1:7" x14ac:dyDescent="0.3">
      <c r="A1961" s="11" t="s">
        <v>6354</v>
      </c>
      <c r="B1961" s="11" t="s">
        <v>6355</v>
      </c>
      <c r="C1961" s="1588">
        <v>49</v>
      </c>
      <c r="D1961" s="1588">
        <v>19522.729222835402</v>
      </c>
      <c r="E1961" s="1589">
        <v>9109.9697589713105</v>
      </c>
      <c r="F1961" s="1590">
        <v>2.3879174109928498</v>
      </c>
      <c r="G1961" s="1591">
        <v>1.1142835180862301</v>
      </c>
    </row>
    <row r="1962" spans="1:7" x14ac:dyDescent="0.3">
      <c r="A1962" s="6" t="s">
        <v>6354</v>
      </c>
      <c r="B1962" s="6" t="s">
        <v>6356</v>
      </c>
      <c r="C1962" s="1584">
        <v>2274</v>
      </c>
      <c r="D1962" s="1584">
        <v>817562.99999999802</v>
      </c>
      <c r="E1962" s="1585">
        <v>0</v>
      </c>
      <c r="F1962" s="1586">
        <v>100</v>
      </c>
      <c r="G1962" s="1587">
        <v>0</v>
      </c>
    </row>
    <row r="1963" spans="1:7" x14ac:dyDescent="0.3">
      <c r="A1963" s="3449" t="s">
        <v>576</v>
      </c>
      <c r="B1963" s="3450"/>
      <c r="C1963" s="3450"/>
      <c r="D1963" s="3450"/>
      <c r="E1963" s="3450"/>
      <c r="F1963" s="3450"/>
      <c r="G1963" s="3450"/>
    </row>
    <row r="1964" spans="1:7" x14ac:dyDescent="0.3">
      <c r="A1964" s="11" t="s">
        <v>1027</v>
      </c>
      <c r="B1964" s="11" t="s">
        <v>6070</v>
      </c>
      <c r="C1964" s="1596">
        <v>309</v>
      </c>
      <c r="D1964" s="1596">
        <v>101197.27262867799</v>
      </c>
      <c r="E1964" s="1597">
        <v>10668.342314805101</v>
      </c>
      <c r="F1964" s="1598">
        <v>100</v>
      </c>
      <c r="G1964" s="1599">
        <v>0</v>
      </c>
    </row>
    <row r="1965" spans="1:7" x14ac:dyDescent="0.3">
      <c r="A1965" s="6" t="s">
        <v>1019</v>
      </c>
      <c r="B1965" s="6" t="s">
        <v>1020</v>
      </c>
      <c r="C1965" s="1592">
        <v>1965</v>
      </c>
      <c r="D1965" s="1592">
        <v>716365.72737132094</v>
      </c>
      <c r="E1965" s="1593">
        <v>10668.342314802499</v>
      </c>
      <c r="F1965" s="1594">
        <v>100</v>
      </c>
      <c r="G1965" s="1595">
        <v>0</v>
      </c>
    </row>
    <row r="1966" spans="1:7" x14ac:dyDescent="0.3">
      <c r="A1966" s="11" t="s">
        <v>6354</v>
      </c>
      <c r="B1966" s="11" t="s">
        <v>6355</v>
      </c>
      <c r="C1966" s="1596">
        <v>309</v>
      </c>
      <c r="D1966" s="1596">
        <v>101197.27262867799</v>
      </c>
      <c r="E1966" s="1597">
        <v>10668.342314805101</v>
      </c>
      <c r="F1966" s="1598">
        <v>12.3779173750131</v>
      </c>
      <c r="G1966" s="1599">
        <v>1.3048954410614</v>
      </c>
    </row>
    <row r="1967" spans="1:7" x14ac:dyDescent="0.3">
      <c r="A1967" s="6" t="s">
        <v>6354</v>
      </c>
      <c r="B1967" s="6" t="s">
        <v>6356</v>
      </c>
      <c r="C1967" s="1592">
        <v>2274</v>
      </c>
      <c r="D1967" s="1592">
        <v>817562.99999999895</v>
      </c>
      <c r="E1967" s="1593">
        <v>0</v>
      </c>
      <c r="F1967" s="1594">
        <v>100</v>
      </c>
      <c r="G1967" s="1595">
        <v>0</v>
      </c>
    </row>
    <row r="1968" spans="1:7" x14ac:dyDescent="0.3">
      <c r="A1968" s="3449" t="s">
        <v>578</v>
      </c>
      <c r="B1968" s="3450"/>
      <c r="C1968" s="3450"/>
      <c r="D1968" s="3450"/>
      <c r="E1968" s="3450"/>
      <c r="F1968" s="3450"/>
      <c r="G1968" s="3450"/>
    </row>
    <row r="1969" spans="1:7" x14ac:dyDescent="0.3">
      <c r="A1969" s="11" t="s">
        <v>1029</v>
      </c>
      <c r="B1969" s="11" t="s">
        <v>6071</v>
      </c>
      <c r="C1969" s="1604">
        <v>10</v>
      </c>
      <c r="D1969" s="1604">
        <v>3089.5869124031401</v>
      </c>
      <c r="E1969" s="1605">
        <v>1884.7524823128499</v>
      </c>
      <c r="F1969" s="1606">
        <v>100</v>
      </c>
      <c r="G1969" s="1607">
        <v>0</v>
      </c>
    </row>
    <row r="1970" spans="1:7" x14ac:dyDescent="0.3">
      <c r="A1970" s="6" t="s">
        <v>1019</v>
      </c>
      <c r="B1970" s="6" t="s">
        <v>1020</v>
      </c>
      <c r="C1970" s="1600">
        <v>2264</v>
      </c>
      <c r="D1970" s="1600">
        <v>814473.41308759502</v>
      </c>
      <c r="E1970" s="1601">
        <v>1884.75248231301</v>
      </c>
      <c r="F1970" s="1602">
        <v>100</v>
      </c>
      <c r="G1970" s="1603">
        <v>0</v>
      </c>
    </row>
    <row r="1971" spans="1:7" x14ac:dyDescent="0.3">
      <c r="A1971" s="11" t="s">
        <v>6354</v>
      </c>
      <c r="B1971" s="11" t="s">
        <v>6355</v>
      </c>
      <c r="C1971" s="1604">
        <v>10</v>
      </c>
      <c r="D1971" s="1604">
        <v>3089.5869124031401</v>
      </c>
      <c r="E1971" s="1605">
        <v>1884.7524823128499</v>
      </c>
      <c r="F1971" s="1606">
        <v>0.37790199806047298</v>
      </c>
      <c r="G1971" s="1607">
        <v>0.23053299651682599</v>
      </c>
    </row>
    <row r="1972" spans="1:7" x14ac:dyDescent="0.3">
      <c r="A1972" s="6" t="s">
        <v>6354</v>
      </c>
      <c r="B1972" s="6" t="s">
        <v>6356</v>
      </c>
      <c r="C1972" s="1600">
        <v>2274</v>
      </c>
      <c r="D1972" s="1600">
        <v>817562.99999999802</v>
      </c>
      <c r="E1972" s="1601">
        <v>0</v>
      </c>
      <c r="F1972" s="1602">
        <v>100</v>
      </c>
      <c r="G1972" s="1603">
        <v>0</v>
      </c>
    </row>
    <row r="1973" spans="1:7" x14ac:dyDescent="0.3">
      <c r="A1973" s="3449" t="s">
        <v>580</v>
      </c>
      <c r="B1973" s="3450"/>
      <c r="C1973" s="3450"/>
      <c r="D1973" s="3450"/>
      <c r="E1973" s="3450"/>
      <c r="F1973" s="3450"/>
      <c r="G1973" s="3450"/>
    </row>
    <row r="1974" spans="1:7" x14ac:dyDescent="0.3">
      <c r="A1974" s="11" t="s">
        <v>1019</v>
      </c>
      <c r="B1974" s="11" t="s">
        <v>1020</v>
      </c>
      <c r="C1974" s="1612">
        <v>2274</v>
      </c>
      <c r="D1974" s="1612">
        <v>817562.99999999802</v>
      </c>
      <c r="E1974" s="1613">
        <v>2.25238829148147E-8</v>
      </c>
      <c r="F1974" s="1614">
        <v>100</v>
      </c>
      <c r="G1974" s="1615">
        <v>0</v>
      </c>
    </row>
    <row r="1975" spans="1:7" x14ac:dyDescent="0.3">
      <c r="A1975" s="6" t="s">
        <v>6354</v>
      </c>
      <c r="B1975" s="6" t="s">
        <v>6355</v>
      </c>
      <c r="C1975" s="1608">
        <v>0</v>
      </c>
      <c r="D1975" s="1608">
        <v>0</v>
      </c>
      <c r="E1975" s="1609">
        <v>0</v>
      </c>
      <c r="F1975" s="1610">
        <v>0</v>
      </c>
      <c r="G1975" s="1611">
        <v>0</v>
      </c>
    </row>
    <row r="1976" spans="1:7" x14ac:dyDescent="0.3">
      <c r="A1976" s="11" t="s">
        <v>6354</v>
      </c>
      <c r="B1976" s="11" t="s">
        <v>6356</v>
      </c>
      <c r="C1976" s="1612">
        <v>2274</v>
      </c>
      <c r="D1976" s="1612">
        <v>817562.99999999802</v>
      </c>
      <c r="E1976" s="1613">
        <v>0</v>
      </c>
      <c r="F1976" s="1614">
        <v>100</v>
      </c>
      <c r="G1976" s="1615">
        <v>0</v>
      </c>
    </row>
    <row r="1977" spans="1:7" x14ac:dyDescent="0.3">
      <c r="A1977" s="3449" t="s">
        <v>585</v>
      </c>
      <c r="B1977" s="3450"/>
      <c r="C1977" s="3450"/>
      <c r="D1977" s="3450"/>
      <c r="E1977" s="3450"/>
      <c r="F1977" s="3450"/>
      <c r="G1977" s="3450"/>
    </row>
    <row r="1978" spans="1:7" x14ac:dyDescent="0.3">
      <c r="A1978" s="11" t="s">
        <v>1019</v>
      </c>
      <c r="B1978" s="11" t="s">
        <v>1020</v>
      </c>
      <c r="C1978" s="1620">
        <v>2273</v>
      </c>
      <c r="D1978" s="1620">
        <v>817410.373318917</v>
      </c>
      <c r="E1978" s="1621">
        <v>157.477684898673</v>
      </c>
      <c r="F1978" s="1622">
        <v>99.981331508265299</v>
      </c>
      <c r="G1978" s="1623">
        <v>1.9261840971468401E-2</v>
      </c>
    </row>
    <row r="1979" spans="1:7" x14ac:dyDescent="0.3">
      <c r="A1979" s="6" t="s">
        <v>1017</v>
      </c>
      <c r="B1979" s="6" t="s">
        <v>1018</v>
      </c>
      <c r="C1979" s="1616">
        <v>1</v>
      </c>
      <c r="D1979" s="1616">
        <v>152.626681081014</v>
      </c>
      <c r="E1979" s="1617">
        <v>157.47768490154999</v>
      </c>
      <c r="F1979" s="1618">
        <v>1.8668491734706E-2</v>
      </c>
      <c r="G1979" s="1619">
        <v>1.9261840971466399E-2</v>
      </c>
    </row>
    <row r="1980" spans="1:7" x14ac:dyDescent="0.3">
      <c r="A1980" s="11" t="s">
        <v>6354</v>
      </c>
      <c r="B1980" s="11" t="s">
        <v>6355</v>
      </c>
      <c r="C1980" s="1620">
        <v>0</v>
      </c>
      <c r="D1980" s="1620">
        <v>0</v>
      </c>
      <c r="E1980" s="1621">
        <v>0</v>
      </c>
      <c r="F1980" s="1622">
        <v>0</v>
      </c>
      <c r="G1980" s="1623">
        <v>0</v>
      </c>
    </row>
    <row r="1981" spans="1:7" x14ac:dyDescent="0.3">
      <c r="A1981" s="6" t="s">
        <v>6354</v>
      </c>
      <c r="B1981" s="6" t="s">
        <v>6356</v>
      </c>
      <c r="C1981" s="1616">
        <v>2274</v>
      </c>
      <c r="D1981" s="1616">
        <v>817562.99999999802</v>
      </c>
      <c r="E1981" s="1617">
        <v>0</v>
      </c>
      <c r="F1981" s="1618">
        <v>100</v>
      </c>
      <c r="G1981" s="1619">
        <v>0</v>
      </c>
    </row>
    <row r="1982" spans="1:7" x14ac:dyDescent="0.3">
      <c r="A1982" s="3449" t="s">
        <v>587</v>
      </c>
      <c r="B1982" s="3450"/>
      <c r="C1982" s="3450"/>
      <c r="D1982" s="3450"/>
      <c r="E1982" s="3450"/>
      <c r="F1982" s="3450"/>
      <c r="G1982" s="3450"/>
    </row>
    <row r="1983" spans="1:7" x14ac:dyDescent="0.3">
      <c r="A1983" s="11" t="s">
        <v>1052</v>
      </c>
      <c r="B1983" s="11" t="s">
        <v>3062</v>
      </c>
      <c r="C1983" s="1628">
        <v>27</v>
      </c>
      <c r="D1983" s="1628">
        <v>10356.3367942841</v>
      </c>
      <c r="E1983" s="1629">
        <v>4899.4088737878601</v>
      </c>
      <c r="F1983" s="1630">
        <v>100</v>
      </c>
      <c r="G1983" s="1631">
        <v>0</v>
      </c>
    </row>
    <row r="1984" spans="1:7" x14ac:dyDescent="0.3">
      <c r="A1984" s="6" t="s">
        <v>1019</v>
      </c>
      <c r="B1984" s="6" t="s">
        <v>1020</v>
      </c>
      <c r="C1984" s="1624">
        <v>2247</v>
      </c>
      <c r="D1984" s="1624">
        <v>807206.66320571396</v>
      </c>
      <c r="E1984" s="1625">
        <v>4899.4088737866005</v>
      </c>
      <c r="F1984" s="1626">
        <v>100</v>
      </c>
      <c r="G1984" s="1627">
        <v>0</v>
      </c>
    </row>
    <row r="1985" spans="1:7" x14ac:dyDescent="0.3">
      <c r="A1985" s="11" t="s">
        <v>6354</v>
      </c>
      <c r="B1985" s="11" t="s">
        <v>6355</v>
      </c>
      <c r="C1985" s="1628">
        <v>27</v>
      </c>
      <c r="D1985" s="1628">
        <v>10356.3367942841</v>
      </c>
      <c r="E1985" s="1629">
        <v>4899.4088737878601</v>
      </c>
      <c r="F1985" s="1630">
        <v>1.2667325691456399</v>
      </c>
      <c r="G1985" s="1631">
        <v>0.59926988792152402</v>
      </c>
    </row>
    <row r="1986" spans="1:7" x14ac:dyDescent="0.3">
      <c r="A1986" s="6" t="s">
        <v>6354</v>
      </c>
      <c r="B1986" s="6" t="s">
        <v>6356</v>
      </c>
      <c r="C1986" s="1624">
        <v>2274</v>
      </c>
      <c r="D1986" s="1624">
        <v>817562.99999999895</v>
      </c>
      <c r="E1986" s="1625">
        <v>0</v>
      </c>
      <c r="F1986" s="1626">
        <v>100</v>
      </c>
      <c r="G1986" s="1627">
        <v>0</v>
      </c>
    </row>
    <row r="1987" spans="1:7" x14ac:dyDescent="0.3">
      <c r="A1987" s="3449" t="s">
        <v>582</v>
      </c>
      <c r="B1987" s="3450"/>
      <c r="C1987" s="3450"/>
      <c r="D1987" s="3450"/>
      <c r="E1987" s="3450"/>
      <c r="F1987" s="3450"/>
      <c r="G1987" s="3450"/>
    </row>
    <row r="1988" spans="1:7" x14ac:dyDescent="0.3">
      <c r="A1988" s="11" t="s">
        <v>6521</v>
      </c>
      <c r="B1988" s="11"/>
      <c r="C1988" s="1636">
        <v>2</v>
      </c>
      <c r="D1988" s="1636">
        <v>1973.4374000831201</v>
      </c>
      <c r="E1988" s="1637">
        <v>1992.99956525376</v>
      </c>
      <c r="F1988" s="1638">
        <v>19.1562662483351</v>
      </c>
      <c r="G1988" s="1639">
        <v>19.826347712723798</v>
      </c>
    </row>
    <row r="1989" spans="1:7" x14ac:dyDescent="0.3">
      <c r="A1989" s="6" t="s">
        <v>6522</v>
      </c>
      <c r="B1989" s="6"/>
      <c r="C1989" s="1632">
        <v>8</v>
      </c>
      <c r="D1989" s="1632">
        <v>1925.4968159877501</v>
      </c>
      <c r="E1989" s="1633">
        <v>1688.22076510588</v>
      </c>
      <c r="F1989" s="1634">
        <v>18.690904340735401</v>
      </c>
      <c r="G1989" s="1635">
        <v>23.104376781744602</v>
      </c>
    </row>
    <row r="1990" spans="1:7" x14ac:dyDescent="0.3">
      <c r="A1990" s="11" t="s">
        <v>6523</v>
      </c>
      <c r="B1990" s="11"/>
      <c r="C1990" s="1636">
        <v>1</v>
      </c>
      <c r="D1990" s="1636">
        <v>1530.1595525576199</v>
      </c>
      <c r="E1990" s="1637">
        <v>1527.1482235865401</v>
      </c>
      <c r="F1990" s="1638">
        <v>14.853343607449901</v>
      </c>
      <c r="G1990" s="1639">
        <v>16.7620604352268</v>
      </c>
    </row>
    <row r="1991" spans="1:7" x14ac:dyDescent="0.3">
      <c r="A1991" s="6" t="s">
        <v>6524</v>
      </c>
      <c r="B1991" s="6"/>
      <c r="C1991" s="1632">
        <v>1</v>
      </c>
      <c r="D1991" s="1632">
        <v>1286.7349511695299</v>
      </c>
      <c r="E1991" s="1633">
        <v>1351.9752390395499</v>
      </c>
      <c r="F1991" s="1634">
        <v>12.4904075065183</v>
      </c>
      <c r="G1991" s="1635">
        <v>12.355944680959301</v>
      </c>
    </row>
    <row r="1992" spans="1:7" x14ac:dyDescent="0.3">
      <c r="A1992" s="11" t="s">
        <v>6525</v>
      </c>
      <c r="B1992" s="11"/>
      <c r="C1992" s="1636">
        <v>1</v>
      </c>
      <c r="D1992" s="1636">
        <v>1041.9303042039301</v>
      </c>
      <c r="E1992" s="1637">
        <v>1022.45102441988</v>
      </c>
      <c r="F1992" s="1638">
        <v>10.1140752266571</v>
      </c>
      <c r="G1992" s="1639">
        <v>12.7362455685568</v>
      </c>
    </row>
    <row r="1993" spans="1:7" x14ac:dyDescent="0.3">
      <c r="A1993" s="6" t="s">
        <v>6526</v>
      </c>
      <c r="B1993" s="6"/>
      <c r="C1993" s="1632">
        <v>1</v>
      </c>
      <c r="D1993" s="1632">
        <v>892.83127634449704</v>
      </c>
      <c r="E1993" s="1633">
        <v>961.78121459311797</v>
      </c>
      <c r="F1993" s="1634">
        <v>8.6667626972995109</v>
      </c>
      <c r="G1993" s="1635">
        <v>10.242315244636099</v>
      </c>
    </row>
    <row r="1994" spans="1:7" x14ac:dyDescent="0.3">
      <c r="A1994" s="11" t="s">
        <v>6527</v>
      </c>
      <c r="B1994" s="11"/>
      <c r="C1994" s="1636">
        <v>2</v>
      </c>
      <c r="D1994" s="1636">
        <v>801.81552983427696</v>
      </c>
      <c r="E1994" s="1637">
        <v>831.33094887652601</v>
      </c>
      <c r="F1994" s="1638">
        <v>7.7832678000875104</v>
      </c>
      <c r="G1994" s="1639">
        <v>8.2072796174601397</v>
      </c>
    </row>
    <row r="1995" spans="1:7" x14ac:dyDescent="0.3">
      <c r="A1995" s="6" t="s">
        <v>6528</v>
      </c>
      <c r="B1995" s="6"/>
      <c r="C1995" s="1632">
        <v>1</v>
      </c>
      <c r="D1995" s="1632">
        <v>529.17149447647796</v>
      </c>
      <c r="E1995" s="1633">
        <v>563.78937810262801</v>
      </c>
      <c r="F1995" s="1634">
        <v>5.13669703371077</v>
      </c>
      <c r="G1995" s="1635">
        <v>5.7648001822962298</v>
      </c>
    </row>
    <row r="1996" spans="1:7" x14ac:dyDescent="0.3">
      <c r="A1996" s="11" t="s">
        <v>6529</v>
      </c>
      <c r="B1996" s="11"/>
      <c r="C1996" s="1636">
        <v>2</v>
      </c>
      <c r="D1996" s="1636">
        <v>183.54624976092799</v>
      </c>
      <c r="E1996" s="1637">
        <v>211.246148753066</v>
      </c>
      <c r="F1996" s="1638">
        <v>1.78169362208077</v>
      </c>
      <c r="G1996" s="1639">
        <v>2.1388088355534798</v>
      </c>
    </row>
    <row r="1997" spans="1:7" x14ac:dyDescent="0.3">
      <c r="A1997" s="6" t="s">
        <v>6530</v>
      </c>
      <c r="B1997" s="6"/>
      <c r="C1997" s="1632">
        <v>1</v>
      </c>
      <c r="D1997" s="1632">
        <v>87.265812606170201</v>
      </c>
      <c r="E1997" s="1633">
        <v>89.311159653311407</v>
      </c>
      <c r="F1997" s="1634">
        <v>0.84709408091217497</v>
      </c>
      <c r="G1997" s="1635">
        <v>1.0230868570866001</v>
      </c>
    </row>
    <row r="1998" spans="1:7" x14ac:dyDescent="0.3">
      <c r="A1998" s="11" t="s">
        <v>6531</v>
      </c>
      <c r="B1998" s="11"/>
      <c r="C1998" s="1636">
        <v>1</v>
      </c>
      <c r="D1998" s="1636">
        <v>49.395806917787503</v>
      </c>
      <c r="E1998" s="1637">
        <v>55.340894175178001</v>
      </c>
      <c r="F1998" s="1638">
        <v>0.479487836213421</v>
      </c>
      <c r="G1998" s="1639">
        <v>0.61484537905499903</v>
      </c>
    </row>
    <row r="1999" spans="1:7" x14ac:dyDescent="0.3">
      <c r="A1999" s="6" t="s">
        <v>1019</v>
      </c>
      <c r="B1999" s="6" t="s">
        <v>1020</v>
      </c>
      <c r="C1999" s="1632">
        <v>2248</v>
      </c>
      <c r="D1999" s="1632">
        <v>807261.214806056</v>
      </c>
      <c r="E1999" s="1633">
        <v>4906.55192918802</v>
      </c>
      <c r="F1999" s="1634">
        <v>100</v>
      </c>
      <c r="G1999" s="1635">
        <v>0</v>
      </c>
    </row>
    <row r="2000" spans="1:7" x14ac:dyDescent="0.3">
      <c r="A2000" s="11" t="s">
        <v>6354</v>
      </c>
      <c r="B2000" s="11" t="s">
        <v>6355</v>
      </c>
      <c r="C2000" s="1636">
        <v>21</v>
      </c>
      <c r="D2000" s="1636">
        <v>10301.7851939421</v>
      </c>
      <c r="E2000" s="1637">
        <v>4906.5519291892097</v>
      </c>
      <c r="F2000" s="1638">
        <v>1.26006010471879</v>
      </c>
      <c r="G2000" s="1639">
        <v>0.60014358883525798</v>
      </c>
    </row>
    <row r="2001" spans="1:7" x14ac:dyDescent="0.3">
      <c r="A2001" s="6" t="s">
        <v>6354</v>
      </c>
      <c r="B2001" s="6" t="s">
        <v>6356</v>
      </c>
      <c r="C2001" s="1632">
        <v>2269</v>
      </c>
      <c r="D2001" s="1632">
        <v>817562.99999999895</v>
      </c>
      <c r="E2001" s="1633">
        <v>0</v>
      </c>
      <c r="F2001" s="1634">
        <v>100</v>
      </c>
      <c r="G2001" s="1635">
        <v>0</v>
      </c>
    </row>
    <row r="2002" spans="1:7" x14ac:dyDescent="0.3">
      <c r="A2002" s="3449" t="s">
        <v>20</v>
      </c>
      <c r="B2002" s="3450"/>
      <c r="C2002" s="3450"/>
      <c r="D2002" s="3450"/>
      <c r="E2002" s="3450"/>
      <c r="F2002" s="3450"/>
      <c r="G2002" s="3450"/>
    </row>
    <row r="2003" spans="1:7" x14ac:dyDescent="0.3">
      <c r="A2003" s="11" t="s">
        <v>1021</v>
      </c>
      <c r="B2003" s="11" t="s">
        <v>1046</v>
      </c>
      <c r="C2003" s="1644">
        <v>274</v>
      </c>
      <c r="D2003" s="1644">
        <v>116657.14998684599</v>
      </c>
      <c r="E2003" s="1645">
        <v>10922.796878424</v>
      </c>
      <c r="F2003" s="1646">
        <v>100</v>
      </c>
      <c r="G2003" s="1647">
        <v>0</v>
      </c>
    </row>
    <row r="2004" spans="1:7" x14ac:dyDescent="0.3">
      <c r="A2004" s="6" t="s">
        <v>1019</v>
      </c>
      <c r="B2004" s="6" t="s">
        <v>1020</v>
      </c>
      <c r="C2004" s="1640">
        <v>1998</v>
      </c>
      <c r="D2004" s="1640">
        <v>700153.90521753195</v>
      </c>
      <c r="E2004" s="1641">
        <v>11187.625736853801</v>
      </c>
      <c r="F2004" s="1642">
        <v>99.8927181452963</v>
      </c>
      <c r="G2004" s="1643">
        <v>0.10651707999290901</v>
      </c>
    </row>
    <row r="2005" spans="1:7" x14ac:dyDescent="0.3">
      <c r="A2005" s="11" t="s">
        <v>1044</v>
      </c>
      <c r="B2005" s="11" t="s">
        <v>1045</v>
      </c>
      <c r="C2005" s="1644">
        <v>2</v>
      </c>
      <c r="D2005" s="1644">
        <v>751.94479562112599</v>
      </c>
      <c r="E2005" s="1645">
        <v>746.44517444431403</v>
      </c>
      <c r="F2005" s="1646">
        <v>0.10728185470374001</v>
      </c>
      <c r="G2005" s="1647">
        <v>0.10651707999290901</v>
      </c>
    </row>
    <row r="2006" spans="1:7" x14ac:dyDescent="0.3">
      <c r="A2006" s="6" t="s">
        <v>6354</v>
      </c>
      <c r="B2006" s="6" t="s">
        <v>6355</v>
      </c>
      <c r="C2006" s="1640">
        <v>274</v>
      </c>
      <c r="D2006" s="1640">
        <v>116657.14998684599</v>
      </c>
      <c r="E2006" s="1641">
        <v>10922.796878424</v>
      </c>
      <c r="F2006" s="1642">
        <v>14.268888145237201</v>
      </c>
      <c r="G2006" s="1643">
        <v>1.3360189830537801</v>
      </c>
    </row>
    <row r="2007" spans="1:7" x14ac:dyDescent="0.3">
      <c r="A2007" s="11" t="s">
        <v>6354</v>
      </c>
      <c r="B2007" s="11" t="s">
        <v>6356</v>
      </c>
      <c r="C2007" s="1644">
        <v>2274</v>
      </c>
      <c r="D2007" s="1644">
        <v>817562.99999999895</v>
      </c>
      <c r="E2007" s="1645">
        <v>0</v>
      </c>
      <c r="F2007" s="1646">
        <v>100</v>
      </c>
      <c r="G2007" s="1647">
        <v>0</v>
      </c>
    </row>
    <row r="2008" spans="1:7" x14ac:dyDescent="0.3">
      <c r="A2008" s="3449" t="s">
        <v>23</v>
      </c>
      <c r="B2008" s="3450"/>
      <c r="C2008" s="3450"/>
      <c r="D2008" s="3450"/>
      <c r="E2008" s="3450"/>
      <c r="F2008" s="3450"/>
      <c r="G2008" s="3450"/>
    </row>
    <row r="2009" spans="1:7" x14ac:dyDescent="0.3">
      <c r="A2009" s="11" t="s">
        <v>1023</v>
      </c>
      <c r="B2009" s="11" t="s">
        <v>1047</v>
      </c>
      <c r="C2009" s="1652">
        <v>1027</v>
      </c>
      <c r="D2009" s="1652">
        <v>310587.395679156</v>
      </c>
      <c r="E2009" s="1653">
        <v>12071.3649181901</v>
      </c>
      <c r="F2009" s="1654">
        <v>100</v>
      </c>
      <c r="G2009" s="1655">
        <v>0</v>
      </c>
    </row>
    <row r="2010" spans="1:7" x14ac:dyDescent="0.3">
      <c r="A2010" s="6" t="s">
        <v>1019</v>
      </c>
      <c r="B2010" s="6" t="s">
        <v>1020</v>
      </c>
      <c r="C2010" s="1648">
        <v>1245</v>
      </c>
      <c r="D2010" s="1648">
        <v>506223.65952522302</v>
      </c>
      <c r="E2010" s="1649">
        <v>12385.508463821199</v>
      </c>
      <c r="F2010" s="1650">
        <v>99.851680280231903</v>
      </c>
      <c r="G2010" s="1651">
        <v>0.14787014000436599</v>
      </c>
    </row>
    <row r="2011" spans="1:7" x14ac:dyDescent="0.3">
      <c r="A2011" s="11" t="s">
        <v>1044</v>
      </c>
      <c r="B2011" s="11" t="s">
        <v>1045</v>
      </c>
      <c r="C2011" s="1652">
        <v>2</v>
      </c>
      <c r="D2011" s="1652">
        <v>751.94479562112599</v>
      </c>
      <c r="E2011" s="1653">
        <v>746.44517444431403</v>
      </c>
      <c r="F2011" s="1654">
        <v>0.14831971976806399</v>
      </c>
      <c r="G2011" s="1655">
        <v>0.14787014000436599</v>
      </c>
    </row>
    <row r="2012" spans="1:7" x14ac:dyDescent="0.3">
      <c r="A2012" s="6" t="s">
        <v>6354</v>
      </c>
      <c r="B2012" s="6" t="s">
        <v>6355</v>
      </c>
      <c r="C2012" s="1648">
        <v>1027</v>
      </c>
      <c r="D2012" s="1648">
        <v>310587.395679156</v>
      </c>
      <c r="E2012" s="1649">
        <v>12071.3649181901</v>
      </c>
      <c r="F2012" s="1650">
        <v>37.989414354509201</v>
      </c>
      <c r="G2012" s="1651">
        <v>1.47650577609192</v>
      </c>
    </row>
    <row r="2013" spans="1:7" x14ac:dyDescent="0.3">
      <c r="A2013" s="11" t="s">
        <v>6354</v>
      </c>
      <c r="B2013" s="11" t="s">
        <v>6356</v>
      </c>
      <c r="C2013" s="1652">
        <v>2274</v>
      </c>
      <c r="D2013" s="1652">
        <v>817563.00000000105</v>
      </c>
      <c r="E2013" s="1653">
        <v>0</v>
      </c>
      <c r="F2013" s="1654">
        <v>100</v>
      </c>
      <c r="G2013" s="1655">
        <v>0</v>
      </c>
    </row>
    <row r="2014" spans="1:7" x14ac:dyDescent="0.3">
      <c r="A2014" s="3449" t="s">
        <v>25</v>
      </c>
      <c r="B2014" s="3450"/>
      <c r="C2014" s="3450"/>
      <c r="D2014" s="3450"/>
      <c r="E2014" s="3450"/>
      <c r="F2014" s="3450"/>
      <c r="G2014" s="3450"/>
    </row>
    <row r="2015" spans="1:7" x14ac:dyDescent="0.3">
      <c r="A2015" s="11" t="s">
        <v>1025</v>
      </c>
      <c r="B2015" s="11" t="s">
        <v>1048</v>
      </c>
      <c r="C2015" s="1660">
        <v>418</v>
      </c>
      <c r="D2015" s="1660">
        <v>138334.87399535999</v>
      </c>
      <c r="E2015" s="1661">
        <v>13976.9214170878</v>
      </c>
      <c r="F2015" s="1662">
        <v>100</v>
      </c>
      <c r="G2015" s="1663">
        <v>0</v>
      </c>
    </row>
    <row r="2016" spans="1:7" x14ac:dyDescent="0.3">
      <c r="A2016" s="6" t="s">
        <v>1019</v>
      </c>
      <c r="B2016" s="6" t="s">
        <v>1020</v>
      </c>
      <c r="C2016" s="1656">
        <v>1854</v>
      </c>
      <c r="D2016" s="1656">
        <v>678476.18120901799</v>
      </c>
      <c r="E2016" s="1657">
        <v>13708.674013285299</v>
      </c>
      <c r="F2016" s="1658">
        <v>99.889294219889806</v>
      </c>
      <c r="G2016" s="1659">
        <v>0.109733887848979</v>
      </c>
    </row>
    <row r="2017" spans="1:7" x14ac:dyDescent="0.3">
      <c r="A2017" s="11" t="s">
        <v>1044</v>
      </c>
      <c r="B2017" s="11" t="s">
        <v>1045</v>
      </c>
      <c r="C2017" s="1660">
        <v>2</v>
      </c>
      <c r="D2017" s="1660">
        <v>751.94479562112599</v>
      </c>
      <c r="E2017" s="1661">
        <v>746.44517444431403</v>
      </c>
      <c r="F2017" s="1662">
        <v>0.11070578011017</v>
      </c>
      <c r="G2017" s="1663">
        <v>0.10973388784898</v>
      </c>
    </row>
    <row r="2018" spans="1:7" x14ac:dyDescent="0.3">
      <c r="A2018" s="6" t="s">
        <v>6354</v>
      </c>
      <c r="B2018" s="6" t="s">
        <v>6355</v>
      </c>
      <c r="C2018" s="1656">
        <v>418</v>
      </c>
      <c r="D2018" s="1656">
        <v>138334.87399535999</v>
      </c>
      <c r="E2018" s="1657">
        <v>13976.9214170878</v>
      </c>
      <c r="F2018" s="1658">
        <v>16.920393167909999</v>
      </c>
      <c r="G2018" s="1659">
        <v>1.70958341034119</v>
      </c>
    </row>
    <row r="2019" spans="1:7" x14ac:dyDescent="0.3">
      <c r="A2019" s="11" t="s">
        <v>6354</v>
      </c>
      <c r="B2019" s="11" t="s">
        <v>6356</v>
      </c>
      <c r="C2019" s="1660">
        <v>2274</v>
      </c>
      <c r="D2019" s="1660">
        <v>817562.99999999895</v>
      </c>
      <c r="E2019" s="1661">
        <v>0</v>
      </c>
      <c r="F2019" s="1662">
        <v>100</v>
      </c>
      <c r="G2019" s="1663">
        <v>0</v>
      </c>
    </row>
    <row r="2020" spans="1:7" x14ac:dyDescent="0.3">
      <c r="A2020" s="3449" t="s">
        <v>27</v>
      </c>
      <c r="B2020" s="3450"/>
      <c r="C2020" s="3450"/>
      <c r="D2020" s="3450"/>
      <c r="E2020" s="3450"/>
      <c r="F2020" s="3450"/>
      <c r="G2020" s="3450"/>
    </row>
    <row r="2021" spans="1:7" x14ac:dyDescent="0.3">
      <c r="A2021" s="11" t="s">
        <v>1027</v>
      </c>
      <c r="B2021" s="11" t="s">
        <v>1049</v>
      </c>
      <c r="C2021" s="1668">
        <v>188</v>
      </c>
      <c r="D2021" s="1668">
        <v>63030.876567165098</v>
      </c>
      <c r="E2021" s="1669">
        <v>7879.3144571571102</v>
      </c>
      <c r="F2021" s="1670">
        <v>100</v>
      </c>
      <c r="G2021" s="1671">
        <v>0</v>
      </c>
    </row>
    <row r="2022" spans="1:7" x14ac:dyDescent="0.3">
      <c r="A2022" s="6" t="s">
        <v>1019</v>
      </c>
      <c r="B2022" s="6" t="s">
        <v>1020</v>
      </c>
      <c r="C2022" s="1664">
        <v>2084</v>
      </c>
      <c r="D2022" s="1664">
        <v>753780.17863721203</v>
      </c>
      <c r="E2022" s="1665">
        <v>8176.72703207836</v>
      </c>
      <c r="F2022" s="1666">
        <v>99.900342904924997</v>
      </c>
      <c r="G2022" s="1667">
        <v>9.8833512269076801E-2</v>
      </c>
    </row>
    <row r="2023" spans="1:7" x14ac:dyDescent="0.3">
      <c r="A2023" s="11" t="s">
        <v>1044</v>
      </c>
      <c r="B2023" s="11" t="s">
        <v>1045</v>
      </c>
      <c r="C2023" s="1668">
        <v>2</v>
      </c>
      <c r="D2023" s="1668">
        <v>751.94479562112599</v>
      </c>
      <c r="E2023" s="1669">
        <v>746.44517444431403</v>
      </c>
      <c r="F2023" s="1670">
        <v>9.9657095075033203E-2</v>
      </c>
      <c r="G2023" s="1671">
        <v>9.8833512269076801E-2</v>
      </c>
    </row>
    <row r="2024" spans="1:7" x14ac:dyDescent="0.3">
      <c r="A2024" s="6" t="s">
        <v>6354</v>
      </c>
      <c r="B2024" s="6" t="s">
        <v>6355</v>
      </c>
      <c r="C2024" s="1664">
        <v>188</v>
      </c>
      <c r="D2024" s="1664">
        <v>63030.876567165098</v>
      </c>
      <c r="E2024" s="1665">
        <v>7879.3144571571102</v>
      </c>
      <c r="F2024" s="1666">
        <v>7.70960483377615</v>
      </c>
      <c r="G2024" s="1667">
        <v>0.96375624351358002</v>
      </c>
    </row>
    <row r="2025" spans="1:7" x14ac:dyDescent="0.3">
      <c r="A2025" s="11" t="s">
        <v>6354</v>
      </c>
      <c r="B2025" s="11" t="s">
        <v>6356</v>
      </c>
      <c r="C2025" s="1668">
        <v>2274</v>
      </c>
      <c r="D2025" s="1668">
        <v>817562.99999999802</v>
      </c>
      <c r="E2025" s="1669">
        <v>0</v>
      </c>
      <c r="F2025" s="1670">
        <v>100</v>
      </c>
      <c r="G2025" s="1671">
        <v>0</v>
      </c>
    </row>
    <row r="2026" spans="1:7" x14ac:dyDescent="0.3">
      <c r="A2026" s="3449" t="s">
        <v>29</v>
      </c>
      <c r="B2026" s="3450"/>
      <c r="C2026" s="3450"/>
      <c r="D2026" s="3450"/>
      <c r="E2026" s="3450"/>
      <c r="F2026" s="3450"/>
      <c r="G2026" s="3450"/>
    </row>
    <row r="2027" spans="1:7" x14ac:dyDescent="0.3">
      <c r="A2027" s="11" t="s">
        <v>1029</v>
      </c>
      <c r="B2027" s="11" t="s">
        <v>890</v>
      </c>
      <c r="C2027" s="1676">
        <v>366</v>
      </c>
      <c r="D2027" s="1676">
        <v>113144.567509089</v>
      </c>
      <c r="E2027" s="1677">
        <v>6137.0286497241896</v>
      </c>
      <c r="F2027" s="1678">
        <v>100</v>
      </c>
      <c r="G2027" s="1679">
        <v>0</v>
      </c>
    </row>
    <row r="2028" spans="1:7" x14ac:dyDescent="0.3">
      <c r="A2028" s="6" t="s">
        <v>1019</v>
      </c>
      <c r="B2028" s="6" t="s">
        <v>1020</v>
      </c>
      <c r="C2028" s="1672">
        <v>1906</v>
      </c>
      <c r="D2028" s="1672">
        <v>703666.48769528896</v>
      </c>
      <c r="E2028" s="1673">
        <v>6363.15789968023</v>
      </c>
      <c r="F2028" s="1674">
        <v>99.893253106259294</v>
      </c>
      <c r="G2028" s="1675">
        <v>0.10609106941201001</v>
      </c>
    </row>
    <row r="2029" spans="1:7" x14ac:dyDescent="0.3">
      <c r="A2029" s="11" t="s">
        <v>1044</v>
      </c>
      <c r="B2029" s="11" t="s">
        <v>1045</v>
      </c>
      <c r="C2029" s="1676">
        <v>2</v>
      </c>
      <c r="D2029" s="1676">
        <v>751.94479562112599</v>
      </c>
      <c r="E2029" s="1677">
        <v>746.44517444431403</v>
      </c>
      <c r="F2029" s="1678">
        <v>0.10674689374072099</v>
      </c>
      <c r="G2029" s="1679">
        <v>0.106091069412011</v>
      </c>
    </row>
    <row r="2030" spans="1:7" x14ac:dyDescent="0.3">
      <c r="A2030" s="6" t="s">
        <v>6354</v>
      </c>
      <c r="B2030" s="6" t="s">
        <v>6355</v>
      </c>
      <c r="C2030" s="1672">
        <v>366</v>
      </c>
      <c r="D2030" s="1672">
        <v>113144.567509089</v>
      </c>
      <c r="E2030" s="1673">
        <v>6137.0286497241896</v>
      </c>
      <c r="F2030" s="1674">
        <v>13.8392475575692</v>
      </c>
      <c r="G2030" s="1675">
        <v>0.75064902028641001</v>
      </c>
    </row>
    <row r="2031" spans="1:7" x14ac:dyDescent="0.3">
      <c r="A2031" s="11" t="s">
        <v>6354</v>
      </c>
      <c r="B2031" s="11" t="s">
        <v>6356</v>
      </c>
      <c r="C2031" s="1676">
        <v>2274</v>
      </c>
      <c r="D2031" s="1676">
        <v>817562.99999999895</v>
      </c>
      <c r="E2031" s="1677">
        <v>0</v>
      </c>
      <c r="F2031" s="1678">
        <v>100</v>
      </c>
      <c r="G2031" s="1679">
        <v>0</v>
      </c>
    </row>
    <row r="2032" spans="1:7" x14ac:dyDescent="0.3">
      <c r="A2032" s="3449" t="s">
        <v>31</v>
      </c>
      <c r="B2032" s="3450"/>
      <c r="C2032" s="3450"/>
      <c r="D2032" s="3450"/>
      <c r="E2032" s="3450"/>
      <c r="F2032" s="3450"/>
      <c r="G2032" s="3450"/>
    </row>
    <row r="2033" spans="1:7" x14ac:dyDescent="0.3">
      <c r="A2033" s="11" t="s">
        <v>1031</v>
      </c>
      <c r="B2033" s="11" t="s">
        <v>1050</v>
      </c>
      <c r="C2033" s="1684">
        <v>485</v>
      </c>
      <c r="D2033" s="1684">
        <v>174794.673327272</v>
      </c>
      <c r="E2033" s="1685">
        <v>9511.6633549933504</v>
      </c>
      <c r="F2033" s="1686">
        <v>100</v>
      </c>
      <c r="G2033" s="1687">
        <v>0</v>
      </c>
    </row>
    <row r="2034" spans="1:7" x14ac:dyDescent="0.3">
      <c r="A2034" s="6" t="s">
        <v>1019</v>
      </c>
      <c r="B2034" s="6" t="s">
        <v>1020</v>
      </c>
      <c r="C2034" s="1680">
        <v>1787</v>
      </c>
      <c r="D2034" s="1680">
        <v>642016.38187710603</v>
      </c>
      <c r="E2034" s="1681">
        <v>9607.3598989319398</v>
      </c>
      <c r="F2034" s="1682">
        <v>99.8830146470481</v>
      </c>
      <c r="G2034" s="1683">
        <v>0.116021111359721</v>
      </c>
    </row>
    <row r="2035" spans="1:7" x14ac:dyDescent="0.3">
      <c r="A2035" s="11" t="s">
        <v>1044</v>
      </c>
      <c r="B2035" s="11" t="s">
        <v>1045</v>
      </c>
      <c r="C2035" s="1684">
        <v>2</v>
      </c>
      <c r="D2035" s="1684">
        <v>751.94479562112599</v>
      </c>
      <c r="E2035" s="1685">
        <v>746.44517444431403</v>
      </c>
      <c r="F2035" s="1686">
        <v>0.116985352951902</v>
      </c>
      <c r="G2035" s="1687">
        <v>0.116021111359723</v>
      </c>
    </row>
    <row r="2036" spans="1:7" x14ac:dyDescent="0.3">
      <c r="A2036" s="6" t="s">
        <v>6354</v>
      </c>
      <c r="B2036" s="6" t="s">
        <v>6355</v>
      </c>
      <c r="C2036" s="1680">
        <v>485</v>
      </c>
      <c r="D2036" s="1680">
        <v>174794.673327272</v>
      </c>
      <c r="E2036" s="1681">
        <v>9511.6633549933504</v>
      </c>
      <c r="F2036" s="1682">
        <v>21.379963785943399</v>
      </c>
      <c r="G2036" s="1683">
        <v>1.16341656300414</v>
      </c>
    </row>
    <row r="2037" spans="1:7" x14ac:dyDescent="0.3">
      <c r="A2037" s="11" t="s">
        <v>6354</v>
      </c>
      <c r="B2037" s="11" t="s">
        <v>6356</v>
      </c>
      <c r="C2037" s="1684">
        <v>2274</v>
      </c>
      <c r="D2037" s="1684">
        <v>817563</v>
      </c>
      <c r="E2037" s="1685">
        <v>0</v>
      </c>
      <c r="F2037" s="1686">
        <v>100</v>
      </c>
      <c r="G2037" s="1687">
        <v>0</v>
      </c>
    </row>
    <row r="2038" spans="1:7" x14ac:dyDescent="0.3">
      <c r="A2038" s="3449" t="s">
        <v>33</v>
      </c>
      <c r="B2038" s="3450"/>
      <c r="C2038" s="3450"/>
      <c r="D2038" s="3450"/>
      <c r="E2038" s="3450"/>
      <c r="F2038" s="3450"/>
      <c r="G2038" s="3450"/>
    </row>
    <row r="2039" spans="1:7" x14ac:dyDescent="0.3">
      <c r="A2039" s="11" t="s">
        <v>1040</v>
      </c>
      <c r="B2039" s="11" t="s">
        <v>1051</v>
      </c>
      <c r="C2039" s="1692">
        <v>175</v>
      </c>
      <c r="D2039" s="1692">
        <v>61151.905256746999</v>
      </c>
      <c r="E2039" s="1693">
        <v>11544.381327766499</v>
      </c>
      <c r="F2039" s="1694">
        <v>100</v>
      </c>
      <c r="G2039" s="1695">
        <v>0</v>
      </c>
    </row>
    <row r="2040" spans="1:7" x14ac:dyDescent="0.3">
      <c r="A2040" s="6" t="s">
        <v>1019</v>
      </c>
      <c r="B2040" s="6" t="s">
        <v>1020</v>
      </c>
      <c r="C2040" s="1688">
        <v>2097</v>
      </c>
      <c r="D2040" s="1688">
        <v>755659.14994763106</v>
      </c>
      <c r="E2040" s="1689">
        <v>11279.3388630441</v>
      </c>
      <c r="F2040" s="1690">
        <v>99.900590459229505</v>
      </c>
      <c r="G2040" s="1691">
        <v>9.8438644124661204E-2</v>
      </c>
    </row>
    <row r="2041" spans="1:7" x14ac:dyDescent="0.3">
      <c r="A2041" s="11" t="s">
        <v>1044</v>
      </c>
      <c r="B2041" s="11" t="s">
        <v>1045</v>
      </c>
      <c r="C2041" s="1692">
        <v>2</v>
      </c>
      <c r="D2041" s="1692">
        <v>751.94479562112599</v>
      </c>
      <c r="E2041" s="1693">
        <v>746.44517444431403</v>
      </c>
      <c r="F2041" s="1694">
        <v>9.9409540770466598E-2</v>
      </c>
      <c r="G2041" s="1695">
        <v>9.8438644124660801E-2</v>
      </c>
    </row>
    <row r="2042" spans="1:7" x14ac:dyDescent="0.3">
      <c r="A2042" s="6" t="s">
        <v>6354</v>
      </c>
      <c r="B2042" s="6" t="s">
        <v>6355</v>
      </c>
      <c r="C2042" s="1688">
        <v>175</v>
      </c>
      <c r="D2042" s="1688">
        <v>61151.905256746999</v>
      </c>
      <c r="E2042" s="1689">
        <v>11544.381327766499</v>
      </c>
      <c r="F2042" s="1690">
        <v>7.4797789597556497</v>
      </c>
      <c r="G2042" s="1691">
        <v>1.4120479189697299</v>
      </c>
    </row>
    <row r="2043" spans="1:7" x14ac:dyDescent="0.3">
      <c r="A2043" s="11" t="s">
        <v>6354</v>
      </c>
      <c r="B2043" s="11" t="s">
        <v>6356</v>
      </c>
      <c r="C2043" s="1692">
        <v>2274</v>
      </c>
      <c r="D2043" s="1692">
        <v>817562.99999999895</v>
      </c>
      <c r="E2043" s="1693">
        <v>0</v>
      </c>
      <c r="F2043" s="1694">
        <v>100</v>
      </c>
      <c r="G2043" s="1695">
        <v>0</v>
      </c>
    </row>
    <row r="2044" spans="1:7" x14ac:dyDescent="0.3">
      <c r="A2044" s="3449" t="s">
        <v>35</v>
      </c>
      <c r="B2044" s="3450"/>
      <c r="C2044" s="3450"/>
      <c r="D2044" s="3450"/>
      <c r="E2044" s="3450"/>
      <c r="F2044" s="3450"/>
      <c r="G2044" s="3450"/>
    </row>
    <row r="2045" spans="1:7" x14ac:dyDescent="0.3">
      <c r="A2045" s="11" t="s">
        <v>1019</v>
      </c>
      <c r="B2045" s="11" t="s">
        <v>1020</v>
      </c>
      <c r="C2045" s="1700">
        <v>2269</v>
      </c>
      <c r="D2045" s="1700">
        <v>816338.69429139502</v>
      </c>
      <c r="E2045" s="1701">
        <v>847.97477434149096</v>
      </c>
      <c r="F2045" s="1702">
        <v>99.8502493742252</v>
      </c>
      <c r="G2045" s="1703">
        <v>0.10371980805657301</v>
      </c>
    </row>
    <row r="2046" spans="1:7" x14ac:dyDescent="0.3">
      <c r="A2046" s="6" t="s">
        <v>1044</v>
      </c>
      <c r="B2046" s="6" t="s">
        <v>1045</v>
      </c>
      <c r="C2046" s="1696">
        <v>2</v>
      </c>
      <c r="D2046" s="1696">
        <v>751.94479562112599</v>
      </c>
      <c r="E2046" s="1697">
        <v>746.44517444431403</v>
      </c>
      <c r="F2046" s="1698">
        <v>9.1973926855927604E-2</v>
      </c>
      <c r="G2046" s="1699">
        <v>9.1301242160459206E-2</v>
      </c>
    </row>
    <row r="2047" spans="1:7" x14ac:dyDescent="0.3">
      <c r="A2047" s="11" t="s">
        <v>1015</v>
      </c>
      <c r="B2047" s="11" t="s">
        <v>1016</v>
      </c>
      <c r="C2047" s="1700">
        <v>3</v>
      </c>
      <c r="D2047" s="1700">
        <v>472.36091298226302</v>
      </c>
      <c r="E2047" s="1701">
        <v>423.54078340646402</v>
      </c>
      <c r="F2047" s="1702">
        <v>5.7776698918892297E-2</v>
      </c>
      <c r="G2047" s="1703">
        <v>5.1805277808127902E-2</v>
      </c>
    </row>
    <row r="2048" spans="1:7" x14ac:dyDescent="0.3">
      <c r="A2048" s="6" t="s">
        <v>6354</v>
      </c>
      <c r="B2048" s="6" t="s">
        <v>6355</v>
      </c>
      <c r="C2048" s="1696">
        <v>0</v>
      </c>
      <c r="D2048" s="1696">
        <v>0</v>
      </c>
      <c r="E2048" s="1697">
        <v>0</v>
      </c>
      <c r="F2048" s="1698">
        <v>0</v>
      </c>
      <c r="G2048" s="1699">
        <v>0</v>
      </c>
    </row>
    <row r="2049" spans="1:7" x14ac:dyDescent="0.3">
      <c r="A2049" s="11" t="s">
        <v>6354</v>
      </c>
      <c r="B2049" s="11" t="s">
        <v>6356</v>
      </c>
      <c r="C2049" s="1700">
        <v>2274</v>
      </c>
      <c r="D2049" s="1700">
        <v>817562.99999999802</v>
      </c>
      <c r="E2049" s="1701">
        <v>0</v>
      </c>
      <c r="F2049" s="1702">
        <v>100</v>
      </c>
      <c r="G2049" s="1703">
        <v>0</v>
      </c>
    </row>
    <row r="2050" spans="1:7" x14ac:dyDescent="0.3">
      <c r="A2050" s="3449" t="s">
        <v>39</v>
      </c>
      <c r="B2050" s="3450"/>
      <c r="C2050" s="3450"/>
      <c r="D2050" s="3450"/>
      <c r="E2050" s="3450"/>
      <c r="F2050" s="3450"/>
      <c r="G2050" s="3450"/>
    </row>
    <row r="2051" spans="1:7" x14ac:dyDescent="0.3">
      <c r="A2051" s="11" t="s">
        <v>1019</v>
      </c>
      <c r="B2051" s="11" t="s">
        <v>1020</v>
      </c>
      <c r="C2051" s="1708">
        <v>2270</v>
      </c>
      <c r="D2051" s="1708">
        <v>814326.70653906104</v>
      </c>
      <c r="E2051" s="1709">
        <v>2534.2760563625902</v>
      </c>
      <c r="F2051" s="1710">
        <v>99.604153629636201</v>
      </c>
      <c r="G2051" s="1711">
        <v>0.30997929900976301</v>
      </c>
    </row>
    <row r="2052" spans="1:7" x14ac:dyDescent="0.3">
      <c r="A2052" s="6" t="s">
        <v>1017</v>
      </c>
      <c r="B2052" s="6" t="s">
        <v>1018</v>
      </c>
      <c r="C2052" s="1704">
        <v>2</v>
      </c>
      <c r="D2052" s="1704">
        <v>2484.3486653165701</v>
      </c>
      <c r="E2052" s="1705">
        <v>2585.66200210631</v>
      </c>
      <c r="F2052" s="1706">
        <v>0.30387244350790998</v>
      </c>
      <c r="G2052" s="1707">
        <v>0.31626455723978503</v>
      </c>
    </row>
    <row r="2053" spans="1:7" x14ac:dyDescent="0.3">
      <c r="A2053" s="11" t="s">
        <v>1044</v>
      </c>
      <c r="B2053" s="11" t="s">
        <v>1045</v>
      </c>
      <c r="C2053" s="1708">
        <v>2</v>
      </c>
      <c r="D2053" s="1708">
        <v>751.94479562112599</v>
      </c>
      <c r="E2053" s="1709">
        <v>746.44517444431403</v>
      </c>
      <c r="F2053" s="1710">
        <v>9.1973926855927604E-2</v>
      </c>
      <c r="G2053" s="1711">
        <v>9.1301242160459206E-2</v>
      </c>
    </row>
    <row r="2054" spans="1:7" x14ac:dyDescent="0.3">
      <c r="A2054" s="6" t="s">
        <v>6354</v>
      </c>
      <c r="B2054" s="6" t="s">
        <v>6355</v>
      </c>
      <c r="C2054" s="1704">
        <v>0</v>
      </c>
      <c r="D2054" s="1704">
        <v>0</v>
      </c>
      <c r="E2054" s="1705">
        <v>0</v>
      </c>
      <c r="F2054" s="1706">
        <v>0</v>
      </c>
      <c r="G2054" s="1707">
        <v>0</v>
      </c>
    </row>
    <row r="2055" spans="1:7" x14ac:dyDescent="0.3">
      <c r="A2055" s="11" t="s">
        <v>6354</v>
      </c>
      <c r="B2055" s="11" t="s">
        <v>6356</v>
      </c>
      <c r="C2055" s="1708">
        <v>2274</v>
      </c>
      <c r="D2055" s="1708">
        <v>817562.99999999802</v>
      </c>
      <c r="E2055" s="1709">
        <v>0</v>
      </c>
      <c r="F2055" s="1710">
        <v>100</v>
      </c>
      <c r="G2055" s="1711">
        <v>0</v>
      </c>
    </row>
    <row r="2056" spans="1:7" x14ac:dyDescent="0.3">
      <c r="A2056" s="3449" t="s">
        <v>41</v>
      </c>
      <c r="B2056" s="3450"/>
      <c r="C2056" s="3450"/>
      <c r="D2056" s="3450"/>
      <c r="E2056" s="3450"/>
      <c r="F2056" s="3450"/>
      <c r="G2056" s="3450"/>
    </row>
    <row r="2057" spans="1:7" x14ac:dyDescent="0.3">
      <c r="A2057" s="11" t="s">
        <v>1052</v>
      </c>
      <c r="B2057" s="11" t="s">
        <v>1053</v>
      </c>
      <c r="C2057" s="1716">
        <v>61</v>
      </c>
      <c r="D2057" s="1716">
        <v>15621.9583420625</v>
      </c>
      <c r="E2057" s="1717">
        <v>4005.2727604936399</v>
      </c>
      <c r="F2057" s="1718">
        <v>100</v>
      </c>
      <c r="G2057" s="1719">
        <v>0</v>
      </c>
    </row>
    <row r="2058" spans="1:7" x14ac:dyDescent="0.3">
      <c r="A2058" s="6" t="s">
        <v>1019</v>
      </c>
      <c r="B2058" s="6" t="s">
        <v>1020</v>
      </c>
      <c r="C2058" s="1712">
        <v>2211</v>
      </c>
      <c r="D2058" s="1712">
        <v>801189.09686231497</v>
      </c>
      <c r="E2058" s="1713">
        <v>4602.3002874478398</v>
      </c>
      <c r="F2058" s="1714">
        <v>99.906234404206799</v>
      </c>
      <c r="G2058" s="1715">
        <v>9.3122615051626501E-2</v>
      </c>
    </row>
    <row r="2059" spans="1:7" x14ac:dyDescent="0.3">
      <c r="A2059" s="11" t="s">
        <v>1044</v>
      </c>
      <c r="B2059" s="11" t="s">
        <v>1045</v>
      </c>
      <c r="C2059" s="1716">
        <v>2</v>
      </c>
      <c r="D2059" s="1716">
        <v>751.94479562112599</v>
      </c>
      <c r="E2059" s="1717">
        <v>746.44517444431403</v>
      </c>
      <c r="F2059" s="1718">
        <v>9.3765595793245907E-2</v>
      </c>
      <c r="G2059" s="1719">
        <v>9.3122615051629901E-2</v>
      </c>
    </row>
    <row r="2060" spans="1:7" x14ac:dyDescent="0.3">
      <c r="A2060" s="6" t="s">
        <v>6354</v>
      </c>
      <c r="B2060" s="6" t="s">
        <v>6355</v>
      </c>
      <c r="C2060" s="1712">
        <v>61</v>
      </c>
      <c r="D2060" s="1712">
        <v>15621.9583420625</v>
      </c>
      <c r="E2060" s="1713">
        <v>4005.2727604936399</v>
      </c>
      <c r="F2060" s="1714">
        <v>1.9107956624825899</v>
      </c>
      <c r="G2060" s="1715">
        <v>0.48990386801918001</v>
      </c>
    </row>
    <row r="2061" spans="1:7" x14ac:dyDescent="0.3">
      <c r="A2061" s="11" t="s">
        <v>6354</v>
      </c>
      <c r="B2061" s="11" t="s">
        <v>6356</v>
      </c>
      <c r="C2061" s="1716">
        <v>2274</v>
      </c>
      <c r="D2061" s="1716">
        <v>817562.99999999802</v>
      </c>
      <c r="E2061" s="1717">
        <v>0</v>
      </c>
      <c r="F2061" s="1718">
        <v>100</v>
      </c>
      <c r="G2061" s="1719">
        <v>0</v>
      </c>
    </row>
    <row r="2062" spans="1:7" x14ac:dyDescent="0.3">
      <c r="A2062" s="3449" t="s">
        <v>37</v>
      </c>
      <c r="B2062" s="3450"/>
      <c r="C2062" s="3450"/>
      <c r="D2062" s="3450"/>
      <c r="E2062" s="3450"/>
      <c r="F2062" s="3450"/>
      <c r="G2062" s="3450"/>
    </row>
    <row r="2063" spans="1:7" x14ac:dyDescent="0.3">
      <c r="A2063" s="11" t="s">
        <v>1019</v>
      </c>
      <c r="B2063" s="11" t="s">
        <v>1020</v>
      </c>
      <c r="C2063" s="1724">
        <v>2213</v>
      </c>
      <c r="D2063" s="1724">
        <v>801941.04165793594</v>
      </c>
      <c r="E2063" s="1725">
        <v>4005.2727604935599</v>
      </c>
      <c r="F2063" s="1726">
        <v>98.089204337517401</v>
      </c>
      <c r="G2063" s="1727">
        <v>0.48990386801918501</v>
      </c>
    </row>
    <row r="2064" spans="1:7" x14ac:dyDescent="0.3">
      <c r="A2064" s="6" t="s">
        <v>1044</v>
      </c>
      <c r="B2064" s="6" t="s">
        <v>1045</v>
      </c>
      <c r="C2064" s="1720">
        <v>61</v>
      </c>
      <c r="D2064" s="1720">
        <v>15621.9583420625</v>
      </c>
      <c r="E2064" s="1721">
        <v>4005.2727604936399</v>
      </c>
      <c r="F2064" s="1722">
        <v>1.9107956624825899</v>
      </c>
      <c r="G2064" s="1723">
        <v>0.48990386801917901</v>
      </c>
    </row>
    <row r="2065" spans="1:7" x14ac:dyDescent="0.3">
      <c r="A2065" s="11" t="s">
        <v>6354</v>
      </c>
      <c r="B2065" s="11" t="s">
        <v>6355</v>
      </c>
      <c r="C2065" s="1724">
        <v>0</v>
      </c>
      <c r="D2065" s="1724">
        <v>0</v>
      </c>
      <c r="E2065" s="1725">
        <v>0</v>
      </c>
      <c r="F2065" s="1726">
        <v>0</v>
      </c>
      <c r="G2065" s="1727">
        <v>0</v>
      </c>
    </row>
    <row r="2066" spans="1:7" x14ac:dyDescent="0.3">
      <c r="A2066" s="6" t="s">
        <v>6354</v>
      </c>
      <c r="B2066" s="6" t="s">
        <v>6356</v>
      </c>
      <c r="C2066" s="1720">
        <v>2274</v>
      </c>
      <c r="D2066" s="1720">
        <v>817562.99999999895</v>
      </c>
      <c r="E2066" s="1721">
        <v>0</v>
      </c>
      <c r="F2066" s="1722">
        <v>100</v>
      </c>
      <c r="G2066" s="1723">
        <v>0</v>
      </c>
    </row>
    <row r="2067" spans="1:7" x14ac:dyDescent="0.3">
      <c r="A2067" s="3449" t="s">
        <v>965</v>
      </c>
      <c r="B2067" s="3450"/>
      <c r="C2067" s="3450"/>
      <c r="D2067" s="3450"/>
      <c r="E2067" s="3450"/>
      <c r="F2067" s="3450"/>
      <c r="G2067" s="3450"/>
    </row>
    <row r="2068" spans="1:7" x14ac:dyDescent="0.3">
      <c r="A2068" s="11" t="s">
        <v>1219</v>
      </c>
      <c r="B2068" s="11" t="s">
        <v>1104</v>
      </c>
      <c r="C2068" s="1732">
        <v>84</v>
      </c>
      <c r="D2068" s="1732">
        <v>24951.900479739801</v>
      </c>
      <c r="E2068" s="1733">
        <v>3323.8938474302099</v>
      </c>
      <c r="F2068" s="1734">
        <v>100</v>
      </c>
      <c r="G2068" s="1735">
        <v>0</v>
      </c>
    </row>
    <row r="2069" spans="1:7" x14ac:dyDescent="0.3">
      <c r="A2069" s="6" t="s">
        <v>1019</v>
      </c>
      <c r="B2069" s="6" t="s">
        <v>1020</v>
      </c>
      <c r="C2069" s="1728">
        <v>2190</v>
      </c>
      <c r="D2069" s="1728">
        <v>792611.09952025895</v>
      </c>
      <c r="E2069" s="1729">
        <v>3323.89384743146</v>
      </c>
      <c r="F2069" s="1730">
        <v>100</v>
      </c>
      <c r="G2069" s="1731">
        <v>0</v>
      </c>
    </row>
    <row r="2070" spans="1:7" x14ac:dyDescent="0.3">
      <c r="A2070" s="11" t="s">
        <v>6354</v>
      </c>
      <c r="B2070" s="11" t="s">
        <v>6355</v>
      </c>
      <c r="C2070" s="1732">
        <v>84</v>
      </c>
      <c r="D2070" s="1732">
        <v>24951.900479739801</v>
      </c>
      <c r="E2070" s="1733">
        <v>3323.8938474302099</v>
      </c>
      <c r="F2070" s="1734">
        <v>3.0519850433226301</v>
      </c>
      <c r="G2070" s="1735">
        <v>0.406561188242405</v>
      </c>
    </row>
    <row r="2071" spans="1:7" x14ac:dyDescent="0.3">
      <c r="A2071" s="6" t="s">
        <v>6354</v>
      </c>
      <c r="B2071" s="6" t="s">
        <v>6356</v>
      </c>
      <c r="C2071" s="1728">
        <v>2274</v>
      </c>
      <c r="D2071" s="1728">
        <v>817562.99999999802</v>
      </c>
      <c r="E2071" s="1729">
        <v>0</v>
      </c>
      <c r="F2071" s="1730">
        <v>100</v>
      </c>
      <c r="G2071" s="1731">
        <v>0</v>
      </c>
    </row>
    <row r="2072" spans="1:7" x14ac:dyDescent="0.3">
      <c r="A2072" s="3449" t="s">
        <v>916</v>
      </c>
      <c r="B2072" s="3450"/>
      <c r="C2072" s="3450"/>
      <c r="D2072" s="3450"/>
      <c r="E2072" s="3450"/>
      <c r="F2072" s="3450"/>
      <c r="G2072" s="3450"/>
    </row>
    <row r="2073" spans="1:7" x14ac:dyDescent="0.3">
      <c r="A2073" s="11" t="s">
        <v>1021</v>
      </c>
      <c r="B2073" s="11" t="s">
        <v>3302</v>
      </c>
      <c r="C2073" s="1740">
        <v>85</v>
      </c>
      <c r="D2073" s="1740">
        <v>20810.104551607899</v>
      </c>
      <c r="E2073" s="1741">
        <v>2589.0688508217499</v>
      </c>
      <c r="F2073" s="1742">
        <v>100</v>
      </c>
      <c r="G2073" s="1743">
        <v>0</v>
      </c>
    </row>
    <row r="2074" spans="1:7" x14ac:dyDescent="0.3">
      <c r="A2074" s="6" t="s">
        <v>1019</v>
      </c>
      <c r="B2074" s="6" t="s">
        <v>1020</v>
      </c>
      <c r="C2074" s="1736">
        <v>2189</v>
      </c>
      <c r="D2074" s="1736">
        <v>796752.89544839098</v>
      </c>
      <c r="E2074" s="1737">
        <v>2589.0688508220401</v>
      </c>
      <c r="F2074" s="1738">
        <v>100</v>
      </c>
      <c r="G2074" s="1739">
        <v>0</v>
      </c>
    </row>
    <row r="2075" spans="1:7" x14ac:dyDescent="0.3">
      <c r="A2075" s="11" t="s">
        <v>6354</v>
      </c>
      <c r="B2075" s="11" t="s">
        <v>6355</v>
      </c>
      <c r="C2075" s="1740">
        <v>85</v>
      </c>
      <c r="D2075" s="1740">
        <v>20810.104551607899</v>
      </c>
      <c r="E2075" s="1741">
        <v>2589.0688508217499</v>
      </c>
      <c r="F2075" s="1742">
        <v>2.5453823805147602</v>
      </c>
      <c r="G2075" s="1743">
        <v>0.31668126503055499</v>
      </c>
    </row>
    <row r="2076" spans="1:7" x14ac:dyDescent="0.3">
      <c r="A2076" s="6" t="s">
        <v>6354</v>
      </c>
      <c r="B2076" s="6" t="s">
        <v>6356</v>
      </c>
      <c r="C2076" s="1736">
        <v>2274</v>
      </c>
      <c r="D2076" s="1736">
        <v>817562.99999999802</v>
      </c>
      <c r="E2076" s="1737">
        <v>0</v>
      </c>
      <c r="F2076" s="1738">
        <v>100</v>
      </c>
      <c r="G2076" s="1739">
        <v>0</v>
      </c>
    </row>
    <row r="2077" spans="1:7" x14ac:dyDescent="0.3">
      <c r="A2077" s="3449" t="s">
        <v>995</v>
      </c>
      <c r="B2077" s="3450"/>
      <c r="C2077" s="3450"/>
      <c r="D2077" s="3450"/>
      <c r="E2077" s="3450"/>
      <c r="F2077" s="3450"/>
      <c r="G2077" s="3450"/>
    </row>
    <row r="2078" spans="1:7" x14ac:dyDescent="0.3">
      <c r="A2078" s="11" t="s">
        <v>1023</v>
      </c>
      <c r="B2078" s="11" t="s">
        <v>3303</v>
      </c>
      <c r="C2078" s="1748">
        <v>62</v>
      </c>
      <c r="D2078" s="1748">
        <v>17431.279552285901</v>
      </c>
      <c r="E2078" s="1749">
        <v>3089.4294554406601</v>
      </c>
      <c r="F2078" s="1750">
        <v>100</v>
      </c>
      <c r="G2078" s="1751">
        <v>0</v>
      </c>
    </row>
    <row r="2079" spans="1:7" x14ac:dyDescent="0.3">
      <c r="A2079" s="6" t="s">
        <v>1019</v>
      </c>
      <c r="B2079" s="6" t="s">
        <v>1020</v>
      </c>
      <c r="C2079" s="1744">
        <v>2212</v>
      </c>
      <c r="D2079" s="1744">
        <v>800131.720447712</v>
      </c>
      <c r="E2079" s="1745">
        <v>3089.4294554428202</v>
      </c>
      <c r="F2079" s="1746">
        <v>100</v>
      </c>
      <c r="G2079" s="1747">
        <v>0</v>
      </c>
    </row>
    <row r="2080" spans="1:7" x14ac:dyDescent="0.3">
      <c r="A2080" s="11" t="s">
        <v>6354</v>
      </c>
      <c r="B2080" s="11" t="s">
        <v>6355</v>
      </c>
      <c r="C2080" s="1748">
        <v>62</v>
      </c>
      <c r="D2080" s="1748">
        <v>17431.279552285901</v>
      </c>
      <c r="E2080" s="1749">
        <v>3089.4294554406601</v>
      </c>
      <c r="F2080" s="1750">
        <v>2.13210230309909</v>
      </c>
      <c r="G2080" s="1751">
        <v>0.37788273875416301</v>
      </c>
    </row>
    <row r="2081" spans="1:7" x14ac:dyDescent="0.3">
      <c r="A2081" s="6" t="s">
        <v>6354</v>
      </c>
      <c r="B2081" s="6" t="s">
        <v>6356</v>
      </c>
      <c r="C2081" s="1744">
        <v>2274</v>
      </c>
      <c r="D2081" s="1744">
        <v>817562.99999999802</v>
      </c>
      <c r="E2081" s="1745">
        <v>0</v>
      </c>
      <c r="F2081" s="1746">
        <v>100</v>
      </c>
      <c r="G2081" s="1747">
        <v>0</v>
      </c>
    </row>
    <row r="2082" spans="1:7" x14ac:dyDescent="0.3">
      <c r="A2082" s="3449" t="s">
        <v>993</v>
      </c>
      <c r="B2082" s="3450"/>
      <c r="C2082" s="3450"/>
      <c r="D2082" s="3450"/>
      <c r="E2082" s="3450"/>
      <c r="F2082" s="3450"/>
      <c r="G2082" s="3450"/>
    </row>
    <row r="2083" spans="1:7" x14ac:dyDescent="0.3">
      <c r="A2083" s="11" t="s">
        <v>1025</v>
      </c>
      <c r="B2083" s="11" t="s">
        <v>3304</v>
      </c>
      <c r="C2083" s="1756">
        <v>2</v>
      </c>
      <c r="D2083" s="1756">
        <v>1174.0514700011099</v>
      </c>
      <c r="E2083" s="1757">
        <v>1215.9701678505501</v>
      </c>
      <c r="F2083" s="1758">
        <v>100</v>
      </c>
      <c r="G2083" s="1759" t="e">
        <v>#NUM!</v>
      </c>
    </row>
    <row r="2084" spans="1:7" x14ac:dyDescent="0.3">
      <c r="A2084" s="6" t="s">
        <v>1019</v>
      </c>
      <c r="B2084" s="6" t="s">
        <v>1020</v>
      </c>
      <c r="C2084" s="1752">
        <v>2272</v>
      </c>
      <c r="D2084" s="1752">
        <v>816388.94852999703</v>
      </c>
      <c r="E2084" s="1753">
        <v>1215.97016785199</v>
      </c>
      <c r="F2084" s="1754">
        <v>100</v>
      </c>
      <c r="G2084" s="1755">
        <v>0</v>
      </c>
    </row>
    <row r="2085" spans="1:7" x14ac:dyDescent="0.3">
      <c r="A2085" s="11" t="s">
        <v>6354</v>
      </c>
      <c r="B2085" s="11" t="s">
        <v>6355</v>
      </c>
      <c r="C2085" s="1756">
        <v>2</v>
      </c>
      <c r="D2085" s="1756">
        <v>1174.0514700011099</v>
      </c>
      <c r="E2085" s="1757">
        <v>1215.9701678505501</v>
      </c>
      <c r="F2085" s="1758">
        <v>0.14360379200148601</v>
      </c>
      <c r="G2085" s="1759">
        <v>0.14873106633379399</v>
      </c>
    </row>
    <row r="2086" spans="1:7" x14ac:dyDescent="0.3">
      <c r="A2086" s="6" t="s">
        <v>6354</v>
      </c>
      <c r="B2086" s="6" t="s">
        <v>6356</v>
      </c>
      <c r="C2086" s="1752">
        <v>2274</v>
      </c>
      <c r="D2086" s="1752">
        <v>817562.99999999802</v>
      </c>
      <c r="E2086" s="1753">
        <v>0</v>
      </c>
      <c r="F2086" s="1754">
        <v>100</v>
      </c>
      <c r="G2086" s="1755">
        <v>0</v>
      </c>
    </row>
    <row r="2087" spans="1:7" x14ac:dyDescent="0.3">
      <c r="A2087" s="3449" t="s">
        <v>922</v>
      </c>
      <c r="B2087" s="3450"/>
      <c r="C2087" s="3450"/>
      <c r="D2087" s="3450"/>
      <c r="E2087" s="3450"/>
      <c r="F2087" s="3450"/>
      <c r="G2087" s="3450"/>
    </row>
    <row r="2088" spans="1:7" x14ac:dyDescent="0.3">
      <c r="A2088" s="11" t="s">
        <v>1019</v>
      </c>
      <c r="B2088" s="11" t="s">
        <v>1020</v>
      </c>
      <c r="C2088" s="1764">
        <v>2273</v>
      </c>
      <c r="D2088" s="1764">
        <v>817562.99999999802</v>
      </c>
      <c r="E2088" s="1765">
        <v>2.25238829148147E-8</v>
      </c>
      <c r="F2088" s="1766">
        <v>100</v>
      </c>
      <c r="G2088" s="1767">
        <v>0</v>
      </c>
    </row>
    <row r="2089" spans="1:7" x14ac:dyDescent="0.3">
      <c r="A2089" s="6" t="s">
        <v>6354</v>
      </c>
      <c r="B2089" s="6" t="s">
        <v>6355</v>
      </c>
      <c r="C2089" s="1760">
        <v>0</v>
      </c>
      <c r="D2089" s="1760">
        <v>0</v>
      </c>
      <c r="E2089" s="1761">
        <v>0</v>
      </c>
      <c r="F2089" s="1762">
        <v>0</v>
      </c>
      <c r="G2089" s="1763">
        <v>0</v>
      </c>
    </row>
    <row r="2090" spans="1:7" x14ac:dyDescent="0.3">
      <c r="A2090" s="11" t="s">
        <v>6354</v>
      </c>
      <c r="B2090" s="11" t="s">
        <v>6356</v>
      </c>
      <c r="C2090" s="1764">
        <v>2273</v>
      </c>
      <c r="D2090" s="1764">
        <v>817562.99999999802</v>
      </c>
      <c r="E2090" s="1765">
        <v>0</v>
      </c>
      <c r="F2090" s="1766">
        <v>100</v>
      </c>
      <c r="G2090" s="1767">
        <v>0</v>
      </c>
    </row>
    <row r="2091" spans="1:7" x14ac:dyDescent="0.3">
      <c r="A2091" s="3449" t="s">
        <v>920</v>
      </c>
      <c r="B2091" s="3450"/>
      <c r="C2091" s="3450"/>
      <c r="D2091" s="3450"/>
      <c r="E2091" s="3450"/>
      <c r="F2091" s="3450"/>
      <c r="G2091" s="3450"/>
    </row>
    <row r="2092" spans="1:7" x14ac:dyDescent="0.3">
      <c r="A2092" s="11" t="s">
        <v>1029</v>
      </c>
      <c r="B2092" s="11" t="s">
        <v>3306</v>
      </c>
      <c r="C2092" s="1772">
        <v>4</v>
      </c>
      <c r="D2092" s="1772">
        <v>1522.46243636482</v>
      </c>
      <c r="E2092" s="1773">
        <v>1496.7515475340099</v>
      </c>
      <c r="F2092" s="1774">
        <v>100</v>
      </c>
      <c r="G2092" s="1775">
        <v>0</v>
      </c>
    </row>
    <row r="2093" spans="1:7" x14ac:dyDescent="0.3">
      <c r="A2093" s="6" t="s">
        <v>1019</v>
      </c>
      <c r="B2093" s="6" t="s">
        <v>1020</v>
      </c>
      <c r="C2093" s="1768">
        <v>2270</v>
      </c>
      <c r="D2093" s="1768">
        <v>816040.53756363399</v>
      </c>
      <c r="E2093" s="1769">
        <v>1496.75154753078</v>
      </c>
      <c r="F2093" s="1770">
        <v>100</v>
      </c>
      <c r="G2093" s="1771">
        <v>0</v>
      </c>
    </row>
    <row r="2094" spans="1:7" x14ac:dyDescent="0.3">
      <c r="A2094" s="11" t="s">
        <v>6354</v>
      </c>
      <c r="B2094" s="11" t="s">
        <v>6355</v>
      </c>
      <c r="C2094" s="1772">
        <v>4</v>
      </c>
      <c r="D2094" s="1772">
        <v>1522.46243636482</v>
      </c>
      <c r="E2094" s="1773">
        <v>1496.7515475340099</v>
      </c>
      <c r="F2094" s="1774">
        <v>0.18621958630280799</v>
      </c>
      <c r="G2094" s="1775">
        <v>0.183074765802025</v>
      </c>
    </row>
    <row r="2095" spans="1:7" x14ac:dyDescent="0.3">
      <c r="A2095" s="6" t="s">
        <v>6354</v>
      </c>
      <c r="B2095" s="6" t="s">
        <v>6356</v>
      </c>
      <c r="C2095" s="1768">
        <v>2274</v>
      </c>
      <c r="D2095" s="1768">
        <v>817562.99999999895</v>
      </c>
      <c r="E2095" s="1769">
        <v>0</v>
      </c>
      <c r="F2095" s="1770">
        <v>100</v>
      </c>
      <c r="G2095" s="1771">
        <v>0</v>
      </c>
    </row>
    <row r="2096" spans="1:7" x14ac:dyDescent="0.3">
      <c r="A2096" s="3449" t="s">
        <v>991</v>
      </c>
      <c r="B2096" s="3450"/>
      <c r="C2096" s="3450"/>
      <c r="D2096" s="3450"/>
      <c r="E2096" s="3450"/>
      <c r="F2096" s="3450"/>
      <c r="G2096" s="3450"/>
    </row>
    <row r="2097" spans="1:7" x14ac:dyDescent="0.3">
      <c r="A2097" s="11" t="s">
        <v>1031</v>
      </c>
      <c r="B2097" s="11" t="s">
        <v>3307</v>
      </c>
      <c r="C2097" s="1780">
        <v>13</v>
      </c>
      <c r="D2097" s="1780">
        <v>3861.47889738295</v>
      </c>
      <c r="E2097" s="1781">
        <v>1743.0589121425501</v>
      </c>
      <c r="F2097" s="1782">
        <v>100</v>
      </c>
      <c r="G2097" s="1783">
        <v>0</v>
      </c>
    </row>
    <row r="2098" spans="1:7" x14ac:dyDescent="0.3">
      <c r="A2098" s="6" t="s">
        <v>1019</v>
      </c>
      <c r="B2098" s="6" t="s">
        <v>1020</v>
      </c>
      <c r="C2098" s="1776">
        <v>2261</v>
      </c>
      <c r="D2098" s="1776">
        <v>813701.52110261598</v>
      </c>
      <c r="E2098" s="1777">
        <v>1743.0589121436601</v>
      </c>
      <c r="F2098" s="1778">
        <v>100</v>
      </c>
      <c r="G2098" s="1779">
        <v>0</v>
      </c>
    </row>
    <row r="2099" spans="1:7" x14ac:dyDescent="0.3">
      <c r="A2099" s="11" t="s">
        <v>6354</v>
      </c>
      <c r="B2099" s="11" t="s">
        <v>6355</v>
      </c>
      <c r="C2099" s="1780">
        <v>13</v>
      </c>
      <c r="D2099" s="1780">
        <v>3861.47889738295</v>
      </c>
      <c r="E2099" s="1781">
        <v>1743.0589121425501</v>
      </c>
      <c r="F2099" s="1782">
        <v>0.47231576005554998</v>
      </c>
      <c r="G2099" s="1783">
        <v>0.21320178532327799</v>
      </c>
    </row>
    <row r="2100" spans="1:7" x14ac:dyDescent="0.3">
      <c r="A2100" s="6" t="s">
        <v>6354</v>
      </c>
      <c r="B2100" s="6" t="s">
        <v>6356</v>
      </c>
      <c r="C2100" s="1776">
        <v>2274</v>
      </c>
      <c r="D2100" s="1776">
        <v>817562.99999999895</v>
      </c>
      <c r="E2100" s="1777">
        <v>0</v>
      </c>
      <c r="F2100" s="1778">
        <v>100</v>
      </c>
      <c r="G2100" s="1779">
        <v>0</v>
      </c>
    </row>
    <row r="2101" spans="1:7" x14ac:dyDescent="0.3">
      <c r="A2101" s="3449" t="s">
        <v>918</v>
      </c>
      <c r="B2101" s="3450"/>
      <c r="C2101" s="3450"/>
      <c r="D2101" s="3450"/>
      <c r="E2101" s="3450"/>
      <c r="F2101" s="3450"/>
      <c r="G2101" s="3450"/>
    </row>
    <row r="2102" spans="1:7" x14ac:dyDescent="0.3">
      <c r="A2102" s="11" t="s">
        <v>1040</v>
      </c>
      <c r="B2102" s="11" t="s">
        <v>3308</v>
      </c>
      <c r="C2102" s="1788">
        <v>15</v>
      </c>
      <c r="D2102" s="1788">
        <v>2551.34703107012</v>
      </c>
      <c r="E2102" s="1789">
        <v>1452.6529730258101</v>
      </c>
      <c r="F2102" s="1790">
        <v>100</v>
      </c>
      <c r="G2102" s="1791">
        <v>0</v>
      </c>
    </row>
    <row r="2103" spans="1:7" x14ac:dyDescent="0.3">
      <c r="A2103" s="6" t="s">
        <v>1019</v>
      </c>
      <c r="B2103" s="6" t="s">
        <v>1020</v>
      </c>
      <c r="C2103" s="1784">
        <v>2259</v>
      </c>
      <c r="D2103" s="1784">
        <v>815011.65296892799</v>
      </c>
      <c r="E2103" s="1785">
        <v>1452.6529730279401</v>
      </c>
      <c r="F2103" s="1786">
        <v>100</v>
      </c>
      <c r="G2103" s="1787">
        <v>0</v>
      </c>
    </row>
    <row r="2104" spans="1:7" x14ac:dyDescent="0.3">
      <c r="A2104" s="11" t="s">
        <v>6354</v>
      </c>
      <c r="B2104" s="11" t="s">
        <v>6355</v>
      </c>
      <c r="C2104" s="1788">
        <v>15</v>
      </c>
      <c r="D2104" s="1788">
        <v>2551.34703107012</v>
      </c>
      <c r="E2104" s="1789">
        <v>1452.6529730258101</v>
      </c>
      <c r="F2104" s="1790">
        <v>0.31206733072192899</v>
      </c>
      <c r="G2104" s="1791">
        <v>0.177680860438379</v>
      </c>
    </row>
    <row r="2105" spans="1:7" x14ac:dyDescent="0.3">
      <c r="A2105" s="6" t="s">
        <v>6354</v>
      </c>
      <c r="B2105" s="6" t="s">
        <v>6356</v>
      </c>
      <c r="C2105" s="1784">
        <v>2274</v>
      </c>
      <c r="D2105" s="1784">
        <v>817562.99999999802</v>
      </c>
      <c r="E2105" s="1785">
        <v>0</v>
      </c>
      <c r="F2105" s="1786">
        <v>100</v>
      </c>
      <c r="G2105" s="1787">
        <v>0</v>
      </c>
    </row>
    <row r="2106" spans="1:7" x14ac:dyDescent="0.3">
      <c r="A2106" s="3449" t="s">
        <v>963</v>
      </c>
      <c r="B2106" s="3450"/>
      <c r="C2106" s="3450"/>
      <c r="D2106" s="3450"/>
      <c r="E2106" s="3450"/>
      <c r="F2106" s="3450"/>
      <c r="G2106" s="3450"/>
    </row>
    <row r="2107" spans="1:7" x14ac:dyDescent="0.3">
      <c r="A2107" s="11" t="s">
        <v>1042</v>
      </c>
      <c r="B2107" s="11" t="s">
        <v>3309</v>
      </c>
      <c r="C2107" s="1796">
        <v>10</v>
      </c>
      <c r="D2107" s="1796">
        <v>1817.21613823703</v>
      </c>
      <c r="E2107" s="1797">
        <v>929.54006190114399</v>
      </c>
      <c r="F2107" s="1798">
        <v>100</v>
      </c>
      <c r="G2107" s="1799">
        <v>0</v>
      </c>
    </row>
    <row r="2108" spans="1:7" x14ac:dyDescent="0.3">
      <c r="A2108" s="6" t="s">
        <v>1019</v>
      </c>
      <c r="B2108" s="6" t="s">
        <v>1020</v>
      </c>
      <c r="C2108" s="1792">
        <v>2264</v>
      </c>
      <c r="D2108" s="1792">
        <v>815745.78386176203</v>
      </c>
      <c r="E2108" s="1793">
        <v>929.54006189985398</v>
      </c>
      <c r="F2108" s="1794">
        <v>100</v>
      </c>
      <c r="G2108" s="1795">
        <v>0</v>
      </c>
    </row>
    <row r="2109" spans="1:7" x14ac:dyDescent="0.3">
      <c r="A2109" s="11" t="s">
        <v>6354</v>
      </c>
      <c r="B2109" s="11" t="s">
        <v>6355</v>
      </c>
      <c r="C2109" s="1796">
        <v>10</v>
      </c>
      <c r="D2109" s="1796">
        <v>1817.21613823703</v>
      </c>
      <c r="E2109" s="1797">
        <v>929.54006190114399</v>
      </c>
      <c r="F2109" s="1798">
        <v>0.22227230662799499</v>
      </c>
      <c r="G2109" s="1799">
        <v>0.113696444420937</v>
      </c>
    </row>
    <row r="2110" spans="1:7" x14ac:dyDescent="0.3">
      <c r="A2110" s="6" t="s">
        <v>6354</v>
      </c>
      <c r="B2110" s="6" t="s">
        <v>6356</v>
      </c>
      <c r="C2110" s="1792">
        <v>2274</v>
      </c>
      <c r="D2110" s="1792">
        <v>817562.99999999895</v>
      </c>
      <c r="E2110" s="1793">
        <v>0</v>
      </c>
      <c r="F2110" s="1794">
        <v>100</v>
      </c>
      <c r="G2110" s="1795">
        <v>0</v>
      </c>
    </row>
    <row r="2111" spans="1:7" x14ac:dyDescent="0.3">
      <c r="A2111" s="3449" t="s">
        <v>417</v>
      </c>
      <c r="B2111" s="3450"/>
      <c r="C2111" s="3450"/>
      <c r="D2111" s="3450"/>
      <c r="E2111" s="3450"/>
      <c r="F2111" s="3450"/>
      <c r="G2111" s="3450"/>
    </row>
    <row r="2112" spans="1:7" x14ac:dyDescent="0.3">
      <c r="A2112" s="11" t="s">
        <v>1052</v>
      </c>
      <c r="B2112" s="11" t="s">
        <v>1083</v>
      </c>
      <c r="C2112" s="1804">
        <v>15</v>
      </c>
      <c r="D2112" s="1804">
        <v>6085.1025062436702</v>
      </c>
      <c r="E2112" s="1805">
        <v>2192.9747798161702</v>
      </c>
      <c r="F2112" s="1806">
        <v>100</v>
      </c>
      <c r="G2112" s="1807">
        <v>0</v>
      </c>
    </row>
    <row r="2113" spans="1:7" x14ac:dyDescent="0.3">
      <c r="A2113" s="6" t="s">
        <v>1019</v>
      </c>
      <c r="B2113" s="6" t="s">
        <v>1020</v>
      </c>
      <c r="C2113" s="1800">
        <v>2259</v>
      </c>
      <c r="D2113" s="1800">
        <v>811477.89749375498</v>
      </c>
      <c r="E2113" s="1801">
        <v>2192.97477981473</v>
      </c>
      <c r="F2113" s="1802">
        <v>100</v>
      </c>
      <c r="G2113" s="1803">
        <v>0</v>
      </c>
    </row>
    <row r="2114" spans="1:7" x14ac:dyDescent="0.3">
      <c r="A2114" s="11" t="s">
        <v>6354</v>
      </c>
      <c r="B2114" s="11" t="s">
        <v>6355</v>
      </c>
      <c r="C2114" s="1804">
        <v>15</v>
      </c>
      <c r="D2114" s="1804">
        <v>6085.1025062436702</v>
      </c>
      <c r="E2114" s="1805">
        <v>2192.9747798161702</v>
      </c>
      <c r="F2114" s="1806">
        <v>0.74429768791440898</v>
      </c>
      <c r="G2114" s="1807">
        <v>0.26823312451959802</v>
      </c>
    </row>
    <row r="2115" spans="1:7" x14ac:dyDescent="0.3">
      <c r="A2115" s="6" t="s">
        <v>6354</v>
      </c>
      <c r="B2115" s="6" t="s">
        <v>6356</v>
      </c>
      <c r="C2115" s="1800">
        <v>2274</v>
      </c>
      <c r="D2115" s="1800">
        <v>817562.99999999802</v>
      </c>
      <c r="E2115" s="1801">
        <v>0</v>
      </c>
      <c r="F2115" s="1802">
        <v>100</v>
      </c>
      <c r="G2115" s="1803">
        <v>0</v>
      </c>
    </row>
    <row r="2116" spans="1:7" x14ac:dyDescent="0.3">
      <c r="A2116" s="3449" t="s">
        <v>420</v>
      </c>
      <c r="B2116" s="3450"/>
      <c r="C2116" s="3450"/>
      <c r="D2116" s="3450"/>
      <c r="E2116" s="3450"/>
      <c r="F2116" s="3450"/>
      <c r="G2116" s="3450"/>
    </row>
    <row r="2117" spans="1:7" x14ac:dyDescent="0.3">
      <c r="A2117" s="11" t="s">
        <v>6532</v>
      </c>
      <c r="B2117" s="11"/>
      <c r="C2117" s="1812">
        <v>2</v>
      </c>
      <c r="D2117" s="1812">
        <v>1846.5333671866099</v>
      </c>
      <c r="E2117" s="1813">
        <v>1408.3442616160701</v>
      </c>
      <c r="F2117" s="1814">
        <v>46.841221164627697</v>
      </c>
      <c r="G2117" s="1815">
        <v>32.354364343425203</v>
      </c>
    </row>
    <row r="2118" spans="1:7" x14ac:dyDescent="0.3">
      <c r="A2118" s="6" t="s">
        <v>6533</v>
      </c>
      <c r="B2118" s="6"/>
      <c r="C2118" s="1808">
        <v>5</v>
      </c>
      <c r="D2118" s="1808">
        <v>1093.4884695655401</v>
      </c>
      <c r="E2118" s="1809">
        <v>1127.9412270595401</v>
      </c>
      <c r="F2118" s="1810">
        <v>27.738645915686501</v>
      </c>
      <c r="G2118" s="1811">
        <v>28.6531870441436</v>
      </c>
    </row>
    <row r="2119" spans="1:7" x14ac:dyDescent="0.3">
      <c r="A2119" s="11" t="s">
        <v>6534</v>
      </c>
      <c r="B2119" s="11"/>
      <c r="C2119" s="1812">
        <v>4</v>
      </c>
      <c r="D2119" s="1812">
        <v>648.100598726464</v>
      </c>
      <c r="E2119" s="1813">
        <v>348.16531681210398</v>
      </c>
      <c r="F2119" s="1814">
        <v>16.440441327159601</v>
      </c>
      <c r="G2119" s="1815">
        <v>12.1177454451401</v>
      </c>
    </row>
    <row r="2120" spans="1:7" x14ac:dyDescent="0.3">
      <c r="A2120" s="6" t="s">
        <v>6535</v>
      </c>
      <c r="B2120" s="6"/>
      <c r="C2120" s="1808">
        <v>1</v>
      </c>
      <c r="D2120" s="1808">
        <v>353.98949344996902</v>
      </c>
      <c r="E2120" s="1809">
        <v>381.53065939926699</v>
      </c>
      <c r="F2120" s="1810">
        <v>8.9796915925261107</v>
      </c>
      <c r="G2120" s="1811">
        <v>12.004676532434701</v>
      </c>
    </row>
    <row r="2121" spans="1:7" x14ac:dyDescent="0.3">
      <c r="A2121" s="11" t="s">
        <v>1019</v>
      </c>
      <c r="B2121" s="11" t="s">
        <v>1020</v>
      </c>
      <c r="C2121" s="1812">
        <v>2259</v>
      </c>
      <c r="D2121" s="1812">
        <v>811477.89749375498</v>
      </c>
      <c r="E2121" s="1813">
        <v>2192.97477981473</v>
      </c>
      <c r="F2121" s="1814">
        <v>99.7366106735047</v>
      </c>
      <c r="G2121" s="1815">
        <v>0.16819067032384899</v>
      </c>
    </row>
    <row r="2122" spans="1:7" x14ac:dyDescent="0.3">
      <c r="A2122" s="6" t="s">
        <v>1044</v>
      </c>
      <c r="B2122" s="6"/>
      <c r="C2122" s="1808">
        <v>3</v>
      </c>
      <c r="D2122" s="1808">
        <v>2142.9905773150899</v>
      </c>
      <c r="E2122" s="1809">
        <v>1368.1094589599099</v>
      </c>
      <c r="F2122" s="1810">
        <v>0.26338932649525298</v>
      </c>
      <c r="G2122" s="1811">
        <v>0.16819067032384299</v>
      </c>
    </row>
    <row r="2123" spans="1:7" x14ac:dyDescent="0.3">
      <c r="A2123" s="11" t="s">
        <v>6354</v>
      </c>
      <c r="B2123" s="11" t="s">
        <v>6355</v>
      </c>
      <c r="C2123" s="1812">
        <v>12</v>
      </c>
      <c r="D2123" s="1812">
        <v>3942.1119289285798</v>
      </c>
      <c r="E2123" s="1813">
        <v>1811.2796945893001</v>
      </c>
      <c r="F2123" s="1814">
        <v>0.48217836777454298</v>
      </c>
      <c r="G2123" s="1815">
        <v>0.221546192108656</v>
      </c>
    </row>
    <row r="2124" spans="1:7" x14ac:dyDescent="0.3">
      <c r="A2124" s="6" t="s">
        <v>6354</v>
      </c>
      <c r="B2124" s="6" t="s">
        <v>6356</v>
      </c>
      <c r="C2124" s="1808">
        <v>2274</v>
      </c>
      <c r="D2124" s="1808">
        <v>817562.99999999802</v>
      </c>
      <c r="E2124" s="1809">
        <v>0</v>
      </c>
      <c r="F2124" s="1810">
        <v>100</v>
      </c>
      <c r="G2124" s="1811">
        <v>0</v>
      </c>
    </row>
    <row r="2125" spans="1:7" x14ac:dyDescent="0.3">
      <c r="A2125" s="3449" t="s">
        <v>133</v>
      </c>
      <c r="B2125" s="3450"/>
      <c r="C2125" s="3450"/>
      <c r="D2125" s="3450"/>
      <c r="E2125" s="3450"/>
      <c r="F2125" s="3450"/>
      <c r="G2125" s="3450"/>
    </row>
    <row r="2126" spans="1:7" x14ac:dyDescent="0.3">
      <c r="A2126" s="11" t="s">
        <v>1021</v>
      </c>
      <c r="B2126" s="11" t="s">
        <v>1191</v>
      </c>
      <c r="C2126" s="1820">
        <v>189</v>
      </c>
      <c r="D2126" s="1820">
        <v>49804.352873681302</v>
      </c>
      <c r="E2126" s="1821">
        <v>5397.2972784780304</v>
      </c>
      <c r="F2126" s="1822">
        <v>100</v>
      </c>
      <c r="G2126" s="1823">
        <v>0</v>
      </c>
    </row>
    <row r="2127" spans="1:7" x14ac:dyDescent="0.3">
      <c r="A2127" s="6" t="s">
        <v>1019</v>
      </c>
      <c r="B2127" s="6" t="s">
        <v>1020</v>
      </c>
      <c r="C2127" s="1816">
        <v>2084</v>
      </c>
      <c r="D2127" s="1816">
        <v>767692.32226985996</v>
      </c>
      <c r="E2127" s="1817">
        <v>5390.4290446387104</v>
      </c>
      <c r="F2127" s="1818">
        <v>99.991361236150794</v>
      </c>
      <c r="G2127" s="1819">
        <v>9.4193122541235495E-3</v>
      </c>
    </row>
    <row r="2128" spans="1:7" x14ac:dyDescent="0.3">
      <c r="A2128" s="11" t="s">
        <v>1044</v>
      </c>
      <c r="B2128" s="11" t="s">
        <v>1045</v>
      </c>
      <c r="C2128" s="1820">
        <v>1</v>
      </c>
      <c r="D2128" s="1820">
        <v>66.324856456811403</v>
      </c>
      <c r="E2128" s="1821">
        <v>72.331165608502701</v>
      </c>
      <c r="F2128" s="1822">
        <v>8.6387638491682399E-3</v>
      </c>
      <c r="G2128" s="1823">
        <v>9.4193122541233101E-3</v>
      </c>
    </row>
    <row r="2129" spans="1:7" x14ac:dyDescent="0.3">
      <c r="A2129" s="6" t="s">
        <v>6354</v>
      </c>
      <c r="B2129" s="6" t="s">
        <v>6355</v>
      </c>
      <c r="C2129" s="1816">
        <v>189</v>
      </c>
      <c r="D2129" s="1816">
        <v>49804.352873681302</v>
      </c>
      <c r="E2129" s="1817">
        <v>5397.2972784780304</v>
      </c>
      <c r="F2129" s="1818">
        <v>6.0918061205902703</v>
      </c>
      <c r="G2129" s="1819">
        <v>0.66016897517109296</v>
      </c>
    </row>
    <row r="2130" spans="1:7" x14ac:dyDescent="0.3">
      <c r="A2130" s="11" t="s">
        <v>6354</v>
      </c>
      <c r="B2130" s="11" t="s">
        <v>6356</v>
      </c>
      <c r="C2130" s="1820">
        <v>2274</v>
      </c>
      <c r="D2130" s="1820">
        <v>817562.99999999802</v>
      </c>
      <c r="E2130" s="1821">
        <v>0</v>
      </c>
      <c r="F2130" s="1822">
        <v>100</v>
      </c>
      <c r="G2130" s="1823">
        <v>0</v>
      </c>
    </row>
    <row r="2131" spans="1:7" x14ac:dyDescent="0.3">
      <c r="A2131" s="3449" t="s">
        <v>125</v>
      </c>
      <c r="B2131" s="3450"/>
      <c r="C2131" s="3450"/>
      <c r="D2131" s="3450"/>
      <c r="E2131" s="3450"/>
      <c r="F2131" s="3450"/>
      <c r="G2131" s="3450"/>
    </row>
    <row r="2132" spans="1:7" x14ac:dyDescent="0.3">
      <c r="A2132" s="11" t="s">
        <v>1023</v>
      </c>
      <c r="B2132" s="11" t="s">
        <v>1192</v>
      </c>
      <c r="C2132" s="1828">
        <v>101</v>
      </c>
      <c r="D2132" s="1828">
        <v>23381.391028334201</v>
      </c>
      <c r="E2132" s="1829">
        <v>3255.7182183556101</v>
      </c>
      <c r="F2132" s="1830">
        <v>100</v>
      </c>
      <c r="G2132" s="1831">
        <v>0</v>
      </c>
    </row>
    <row r="2133" spans="1:7" x14ac:dyDescent="0.3">
      <c r="A2133" s="6" t="s">
        <v>1019</v>
      </c>
      <c r="B2133" s="6" t="s">
        <v>1020</v>
      </c>
      <c r="C2133" s="1824">
        <v>2172</v>
      </c>
      <c r="D2133" s="1824">
        <v>794115.28411520703</v>
      </c>
      <c r="E2133" s="1825">
        <v>3250.0089104370099</v>
      </c>
      <c r="F2133" s="1826">
        <v>99.991648653694895</v>
      </c>
      <c r="G2133" s="1827">
        <v>9.1101632963588308E-3</v>
      </c>
    </row>
    <row r="2134" spans="1:7" x14ac:dyDescent="0.3">
      <c r="A2134" s="11" t="s">
        <v>1044</v>
      </c>
      <c r="B2134" s="11" t="s">
        <v>1045</v>
      </c>
      <c r="C2134" s="1828">
        <v>1</v>
      </c>
      <c r="D2134" s="1828">
        <v>66.324856456811403</v>
      </c>
      <c r="E2134" s="1829">
        <v>72.331165608502701</v>
      </c>
      <c r="F2134" s="1830">
        <v>8.3513463051217308E-3</v>
      </c>
      <c r="G2134" s="1831">
        <v>9.1101632963626594E-3</v>
      </c>
    </row>
    <row r="2135" spans="1:7" x14ac:dyDescent="0.3">
      <c r="A2135" s="6" t="s">
        <v>6354</v>
      </c>
      <c r="B2135" s="6" t="s">
        <v>6355</v>
      </c>
      <c r="C2135" s="1824">
        <v>101</v>
      </c>
      <c r="D2135" s="1824">
        <v>23381.391028334201</v>
      </c>
      <c r="E2135" s="1825">
        <v>3255.7182183556101</v>
      </c>
      <c r="F2135" s="1826">
        <v>2.85988859920695</v>
      </c>
      <c r="G2135" s="1827">
        <v>0.39822230437967798</v>
      </c>
    </row>
    <row r="2136" spans="1:7" x14ac:dyDescent="0.3">
      <c r="A2136" s="11" t="s">
        <v>6354</v>
      </c>
      <c r="B2136" s="11" t="s">
        <v>6356</v>
      </c>
      <c r="C2136" s="1828">
        <v>2274</v>
      </c>
      <c r="D2136" s="1828">
        <v>817562.99999999802</v>
      </c>
      <c r="E2136" s="1829">
        <v>0</v>
      </c>
      <c r="F2136" s="1830">
        <v>100</v>
      </c>
      <c r="G2136" s="1831">
        <v>0</v>
      </c>
    </row>
    <row r="2137" spans="1:7" x14ac:dyDescent="0.3">
      <c r="A2137" s="3449" t="s">
        <v>117</v>
      </c>
      <c r="B2137" s="3450"/>
      <c r="C2137" s="3450"/>
      <c r="D2137" s="3450"/>
      <c r="E2137" s="3450"/>
      <c r="F2137" s="3450"/>
      <c r="G2137" s="3450"/>
    </row>
    <row r="2138" spans="1:7" x14ac:dyDescent="0.3">
      <c r="A2138" s="11" t="s">
        <v>1025</v>
      </c>
      <c r="B2138" s="11" t="s">
        <v>1193</v>
      </c>
      <c r="C2138" s="1836">
        <v>83</v>
      </c>
      <c r="D2138" s="1836">
        <v>17989.457386434398</v>
      </c>
      <c r="E2138" s="1837">
        <v>2938.3385649366701</v>
      </c>
      <c r="F2138" s="1838">
        <v>100</v>
      </c>
      <c r="G2138" s="1839">
        <v>0</v>
      </c>
    </row>
    <row r="2139" spans="1:7" x14ac:dyDescent="0.3">
      <c r="A2139" s="6" t="s">
        <v>1019</v>
      </c>
      <c r="B2139" s="6" t="s">
        <v>1020</v>
      </c>
      <c r="C2139" s="1832">
        <v>2190</v>
      </c>
      <c r="D2139" s="1832">
        <v>799507.21775710699</v>
      </c>
      <c r="E2139" s="1833">
        <v>2961.7995474590598</v>
      </c>
      <c r="F2139" s="1834">
        <v>99.991704971097505</v>
      </c>
      <c r="G2139" s="1835">
        <v>9.0482290948863207E-3</v>
      </c>
    </row>
    <row r="2140" spans="1:7" x14ac:dyDescent="0.3">
      <c r="A2140" s="11" t="s">
        <v>1044</v>
      </c>
      <c r="B2140" s="11" t="s">
        <v>1045</v>
      </c>
      <c r="C2140" s="1836">
        <v>1</v>
      </c>
      <c r="D2140" s="1836">
        <v>66.324856456811403</v>
      </c>
      <c r="E2140" s="1837">
        <v>72.331165608502701</v>
      </c>
      <c r="F2140" s="1838">
        <v>8.2950289025341597E-3</v>
      </c>
      <c r="G2140" s="1839">
        <v>9.0482290948880502E-3</v>
      </c>
    </row>
    <row r="2141" spans="1:7" x14ac:dyDescent="0.3">
      <c r="A2141" s="6" t="s">
        <v>6354</v>
      </c>
      <c r="B2141" s="6" t="s">
        <v>6355</v>
      </c>
      <c r="C2141" s="1832">
        <v>83</v>
      </c>
      <c r="D2141" s="1832">
        <v>17989.457386434398</v>
      </c>
      <c r="E2141" s="1833">
        <v>2938.3385649366701</v>
      </c>
      <c r="F2141" s="1834">
        <v>2.2003756758114599</v>
      </c>
      <c r="G2141" s="1835">
        <v>0.35940209683371999</v>
      </c>
    </row>
    <row r="2142" spans="1:7" x14ac:dyDescent="0.3">
      <c r="A2142" s="11" t="s">
        <v>6354</v>
      </c>
      <c r="B2142" s="11" t="s">
        <v>6356</v>
      </c>
      <c r="C2142" s="1836">
        <v>2274</v>
      </c>
      <c r="D2142" s="1836">
        <v>817562.99999999802</v>
      </c>
      <c r="E2142" s="1837">
        <v>0</v>
      </c>
      <c r="F2142" s="1838">
        <v>100</v>
      </c>
      <c r="G2142" s="1839">
        <v>0</v>
      </c>
    </row>
    <row r="2143" spans="1:7" x14ac:dyDescent="0.3">
      <c r="A2143" s="3449" t="s">
        <v>127</v>
      </c>
      <c r="B2143" s="3450"/>
      <c r="C2143" s="3450"/>
      <c r="D2143" s="3450"/>
      <c r="E2143" s="3450"/>
      <c r="F2143" s="3450"/>
      <c r="G2143" s="3450"/>
    </row>
    <row r="2144" spans="1:7" x14ac:dyDescent="0.3">
      <c r="A2144" s="11" t="s">
        <v>1027</v>
      </c>
      <c r="B2144" s="11" t="s">
        <v>1194</v>
      </c>
      <c r="C2144" s="1844">
        <v>61</v>
      </c>
      <c r="D2144" s="1844">
        <v>14103.259749953801</v>
      </c>
      <c r="E2144" s="1845">
        <v>2291.9764955067899</v>
      </c>
      <c r="F2144" s="1846">
        <v>100</v>
      </c>
      <c r="G2144" s="1847">
        <v>0</v>
      </c>
    </row>
    <row r="2145" spans="1:7" x14ac:dyDescent="0.3">
      <c r="A2145" s="6" t="s">
        <v>1019</v>
      </c>
      <c r="B2145" s="6" t="s">
        <v>1020</v>
      </c>
      <c r="C2145" s="1840">
        <v>2212</v>
      </c>
      <c r="D2145" s="1840">
        <v>803393.41539358802</v>
      </c>
      <c r="E2145" s="1841">
        <v>2293.63147341477</v>
      </c>
      <c r="F2145" s="1842">
        <v>99.991745092736593</v>
      </c>
      <c r="G2145" s="1843">
        <v>9.0048504683992499E-3</v>
      </c>
    </row>
    <row r="2146" spans="1:7" x14ac:dyDescent="0.3">
      <c r="A2146" s="11" t="s">
        <v>1044</v>
      </c>
      <c r="B2146" s="11" t="s">
        <v>1045</v>
      </c>
      <c r="C2146" s="1844">
        <v>1</v>
      </c>
      <c r="D2146" s="1844">
        <v>66.324856456811403</v>
      </c>
      <c r="E2146" s="1845">
        <v>72.331165608502701</v>
      </c>
      <c r="F2146" s="1846">
        <v>8.2549072634517402E-3</v>
      </c>
      <c r="G2146" s="1847">
        <v>9.0048504684001295E-3</v>
      </c>
    </row>
    <row r="2147" spans="1:7" x14ac:dyDescent="0.3">
      <c r="A2147" s="6" t="s">
        <v>6354</v>
      </c>
      <c r="B2147" s="6" t="s">
        <v>6355</v>
      </c>
      <c r="C2147" s="1840">
        <v>61</v>
      </c>
      <c r="D2147" s="1840">
        <v>14103.259749953801</v>
      </c>
      <c r="E2147" s="1841">
        <v>2291.9764955067899</v>
      </c>
      <c r="F2147" s="1842">
        <v>1.7250364497847701</v>
      </c>
      <c r="G2147" s="1843">
        <v>0.28034249293409802</v>
      </c>
    </row>
    <row r="2148" spans="1:7" x14ac:dyDescent="0.3">
      <c r="A2148" s="11" t="s">
        <v>6354</v>
      </c>
      <c r="B2148" s="11" t="s">
        <v>6356</v>
      </c>
      <c r="C2148" s="1844">
        <v>2274</v>
      </c>
      <c r="D2148" s="1844">
        <v>817562.99999999802</v>
      </c>
      <c r="E2148" s="1845">
        <v>0</v>
      </c>
      <c r="F2148" s="1846">
        <v>100</v>
      </c>
      <c r="G2148" s="1847">
        <v>0</v>
      </c>
    </row>
    <row r="2149" spans="1:7" x14ac:dyDescent="0.3">
      <c r="A2149" s="3449" t="s">
        <v>121</v>
      </c>
      <c r="B2149" s="3450"/>
      <c r="C2149" s="3450"/>
      <c r="D2149" s="3450"/>
      <c r="E2149" s="3450"/>
      <c r="F2149" s="3450"/>
      <c r="G2149" s="3450"/>
    </row>
    <row r="2150" spans="1:7" x14ac:dyDescent="0.3">
      <c r="A2150" s="11" t="s">
        <v>1029</v>
      </c>
      <c r="B2150" s="11" t="s">
        <v>1195</v>
      </c>
      <c r="C2150" s="1852">
        <v>20</v>
      </c>
      <c r="D2150" s="1852">
        <v>6872.4073693775399</v>
      </c>
      <c r="E2150" s="1853">
        <v>2638.49225358084</v>
      </c>
      <c r="F2150" s="1854">
        <v>100</v>
      </c>
      <c r="G2150" s="1855">
        <v>0</v>
      </c>
    </row>
    <row r="2151" spans="1:7" x14ac:dyDescent="0.3">
      <c r="A2151" s="6" t="s">
        <v>1019</v>
      </c>
      <c r="B2151" s="6" t="s">
        <v>1020</v>
      </c>
      <c r="C2151" s="1848">
        <v>2253</v>
      </c>
      <c r="D2151" s="1848">
        <v>810624.26777416398</v>
      </c>
      <c r="E2151" s="1849">
        <v>2601.9475705321602</v>
      </c>
      <c r="F2151" s="1850">
        <v>99.991818721339598</v>
      </c>
      <c r="G2151" s="1851">
        <v>8.9148881633189792E-3</v>
      </c>
    </row>
    <row r="2152" spans="1:7" x14ac:dyDescent="0.3">
      <c r="A2152" s="11" t="s">
        <v>1044</v>
      </c>
      <c r="B2152" s="11" t="s">
        <v>1045</v>
      </c>
      <c r="C2152" s="1852">
        <v>1</v>
      </c>
      <c r="D2152" s="1852">
        <v>66.324856456811403</v>
      </c>
      <c r="E2152" s="1853">
        <v>72.331165608502701</v>
      </c>
      <c r="F2152" s="1854">
        <v>8.1812786604064294E-3</v>
      </c>
      <c r="G2152" s="1855">
        <v>8.9148881633249102E-3</v>
      </c>
    </row>
    <row r="2153" spans="1:7" x14ac:dyDescent="0.3">
      <c r="A2153" s="6" t="s">
        <v>6354</v>
      </c>
      <c r="B2153" s="6" t="s">
        <v>6355</v>
      </c>
      <c r="C2153" s="1848">
        <v>20</v>
      </c>
      <c r="D2153" s="1848">
        <v>6872.4073693775399</v>
      </c>
      <c r="E2153" s="1849">
        <v>2638.49225358084</v>
      </c>
      <c r="F2153" s="1850">
        <v>0.84059667198461197</v>
      </c>
      <c r="G2153" s="1851">
        <v>0.32272647533961701</v>
      </c>
    </row>
    <row r="2154" spans="1:7" x14ac:dyDescent="0.3">
      <c r="A2154" s="11" t="s">
        <v>6354</v>
      </c>
      <c r="B2154" s="11" t="s">
        <v>6356</v>
      </c>
      <c r="C2154" s="1852">
        <v>2274</v>
      </c>
      <c r="D2154" s="1852">
        <v>817562.99999999802</v>
      </c>
      <c r="E2154" s="1853">
        <v>0</v>
      </c>
      <c r="F2154" s="1854">
        <v>100</v>
      </c>
      <c r="G2154" s="1855">
        <v>0</v>
      </c>
    </row>
    <row r="2155" spans="1:7" x14ac:dyDescent="0.3">
      <c r="A2155" s="3449" t="s">
        <v>129</v>
      </c>
      <c r="B2155" s="3450"/>
      <c r="C2155" s="3450"/>
      <c r="D2155" s="3450"/>
      <c r="E2155" s="3450"/>
      <c r="F2155" s="3450"/>
      <c r="G2155" s="3450"/>
    </row>
    <row r="2156" spans="1:7" x14ac:dyDescent="0.3">
      <c r="A2156" s="11" t="s">
        <v>1031</v>
      </c>
      <c r="B2156" s="11" t="s">
        <v>1196</v>
      </c>
      <c r="C2156" s="1860">
        <v>16</v>
      </c>
      <c r="D2156" s="1860">
        <v>3619.3216526730798</v>
      </c>
      <c r="E2156" s="1861">
        <v>1055.4791658741699</v>
      </c>
      <c r="F2156" s="1862">
        <v>100</v>
      </c>
      <c r="G2156" s="1863">
        <v>0</v>
      </c>
    </row>
    <row r="2157" spans="1:7" x14ac:dyDescent="0.3">
      <c r="A2157" s="6" t="s">
        <v>1019</v>
      </c>
      <c r="B2157" s="6" t="s">
        <v>1020</v>
      </c>
      <c r="C2157" s="1856">
        <v>2257</v>
      </c>
      <c r="D2157" s="1856">
        <v>813877.35349086905</v>
      </c>
      <c r="E2157" s="1857">
        <v>1031.89244436328</v>
      </c>
      <c r="F2157" s="1858">
        <v>99.991851419425998</v>
      </c>
      <c r="G2157" s="1859">
        <v>8.8850080560873099E-3</v>
      </c>
    </row>
    <row r="2158" spans="1:7" x14ac:dyDescent="0.3">
      <c r="A2158" s="11" t="s">
        <v>1044</v>
      </c>
      <c r="B2158" s="11" t="s">
        <v>1045</v>
      </c>
      <c r="C2158" s="1860">
        <v>1</v>
      </c>
      <c r="D2158" s="1860">
        <v>66.324856456811403</v>
      </c>
      <c r="E2158" s="1861">
        <v>72.331165608502701</v>
      </c>
      <c r="F2158" s="1862">
        <v>8.1485805739631694E-3</v>
      </c>
      <c r="G2158" s="1863">
        <v>8.8850080560887792E-3</v>
      </c>
    </row>
    <row r="2159" spans="1:7" x14ac:dyDescent="0.3">
      <c r="A2159" s="6" t="s">
        <v>6354</v>
      </c>
      <c r="B2159" s="6" t="s">
        <v>6355</v>
      </c>
      <c r="C2159" s="1856">
        <v>16</v>
      </c>
      <c r="D2159" s="1856">
        <v>3619.3216526730798</v>
      </c>
      <c r="E2159" s="1857">
        <v>1055.4791658741699</v>
      </c>
      <c r="F2159" s="1858">
        <v>0.442696361341338</v>
      </c>
      <c r="G2159" s="1859">
        <v>0.12910065228907999</v>
      </c>
    </row>
    <row r="2160" spans="1:7" x14ac:dyDescent="0.3">
      <c r="A2160" s="11" t="s">
        <v>6354</v>
      </c>
      <c r="B2160" s="11" t="s">
        <v>6356</v>
      </c>
      <c r="C2160" s="1860">
        <v>2274</v>
      </c>
      <c r="D2160" s="1860">
        <v>817562.99999999895</v>
      </c>
      <c r="E2160" s="1861">
        <v>0</v>
      </c>
      <c r="F2160" s="1862">
        <v>100</v>
      </c>
      <c r="G2160" s="1863">
        <v>0</v>
      </c>
    </row>
    <row r="2161" spans="1:7" x14ac:dyDescent="0.3">
      <c r="A2161" s="3449" t="s">
        <v>131</v>
      </c>
      <c r="B2161" s="3450"/>
      <c r="C2161" s="3450"/>
      <c r="D2161" s="3450"/>
      <c r="E2161" s="3450"/>
      <c r="F2161" s="3450"/>
      <c r="G2161" s="3450"/>
    </row>
    <row r="2162" spans="1:7" x14ac:dyDescent="0.3">
      <c r="A2162" s="11" t="s">
        <v>1040</v>
      </c>
      <c r="B2162" s="11" t="s">
        <v>1197</v>
      </c>
      <c r="C2162" s="1868">
        <v>8</v>
      </c>
      <c r="D2162" s="1868">
        <v>2584.2976262462898</v>
      </c>
      <c r="E2162" s="1869">
        <v>2050.0922776878001</v>
      </c>
      <c r="F2162" s="1870">
        <v>100</v>
      </c>
      <c r="G2162" s="1871">
        <v>0</v>
      </c>
    </row>
    <row r="2163" spans="1:7" x14ac:dyDescent="0.3">
      <c r="A2163" s="6" t="s">
        <v>1019</v>
      </c>
      <c r="B2163" s="6" t="s">
        <v>1020</v>
      </c>
      <c r="C2163" s="1864">
        <v>2265</v>
      </c>
      <c r="D2163" s="1864">
        <v>814912.37751729495</v>
      </c>
      <c r="E2163" s="1865">
        <v>2025.53157214102</v>
      </c>
      <c r="F2163" s="1866">
        <v>99.9918617681341</v>
      </c>
      <c r="G2163" s="1867">
        <v>8.8714144402650304E-3</v>
      </c>
    </row>
    <row r="2164" spans="1:7" x14ac:dyDescent="0.3">
      <c r="A2164" s="11" t="s">
        <v>1044</v>
      </c>
      <c r="B2164" s="11" t="s">
        <v>1045</v>
      </c>
      <c r="C2164" s="1868">
        <v>1</v>
      </c>
      <c r="D2164" s="1868">
        <v>66.324856456811403</v>
      </c>
      <c r="E2164" s="1869">
        <v>72.331165608502701</v>
      </c>
      <c r="F2164" s="1870">
        <v>8.1382318658916996E-3</v>
      </c>
      <c r="G2164" s="1871">
        <v>8.8714144402683593E-3</v>
      </c>
    </row>
    <row r="2165" spans="1:7" x14ac:dyDescent="0.3">
      <c r="A2165" s="6" t="s">
        <v>6354</v>
      </c>
      <c r="B2165" s="6" t="s">
        <v>6355</v>
      </c>
      <c r="C2165" s="1864">
        <v>8</v>
      </c>
      <c r="D2165" s="1864">
        <v>2584.2976262462898</v>
      </c>
      <c r="E2165" s="1865">
        <v>2050.0922776878001</v>
      </c>
      <c r="F2165" s="1866">
        <v>0.31609767397084898</v>
      </c>
      <c r="G2165" s="1867">
        <v>0.250756489431126</v>
      </c>
    </row>
    <row r="2166" spans="1:7" x14ac:dyDescent="0.3">
      <c r="A2166" s="11" t="s">
        <v>6354</v>
      </c>
      <c r="B2166" s="11" t="s">
        <v>6356</v>
      </c>
      <c r="C2166" s="1868">
        <v>2274</v>
      </c>
      <c r="D2166" s="1868">
        <v>817562.99999999802</v>
      </c>
      <c r="E2166" s="1869">
        <v>0</v>
      </c>
      <c r="F2166" s="1870">
        <v>100</v>
      </c>
      <c r="G2166" s="1871">
        <v>0</v>
      </c>
    </row>
    <row r="2167" spans="1:7" x14ac:dyDescent="0.3">
      <c r="A2167" s="3449" t="s">
        <v>119</v>
      </c>
      <c r="B2167" s="3450"/>
      <c r="C2167" s="3450"/>
      <c r="D2167" s="3450"/>
      <c r="E2167" s="3450"/>
      <c r="F2167" s="3450"/>
      <c r="G2167" s="3450"/>
    </row>
    <row r="2168" spans="1:7" x14ac:dyDescent="0.3">
      <c r="A2168" s="11" t="s">
        <v>1061</v>
      </c>
      <c r="B2168" s="11" t="s">
        <v>1104</v>
      </c>
      <c r="C2168" s="1876">
        <v>68</v>
      </c>
      <c r="D2168" s="1876">
        <v>12270.3700088642</v>
      </c>
      <c r="E2168" s="1877">
        <v>1847.80328608477</v>
      </c>
      <c r="F2168" s="1878">
        <v>100</v>
      </c>
      <c r="G2168" s="1879">
        <v>0</v>
      </c>
    </row>
    <row r="2169" spans="1:7" x14ac:dyDescent="0.3">
      <c r="A2169" s="6" t="s">
        <v>1019</v>
      </c>
      <c r="B2169" s="6" t="s">
        <v>1020</v>
      </c>
      <c r="C2169" s="1872">
        <v>2205</v>
      </c>
      <c r="D2169" s="1872">
        <v>805226.30513467803</v>
      </c>
      <c r="E2169" s="1873">
        <v>1805.5737632155999</v>
      </c>
      <c r="F2169" s="1874">
        <v>99.991763881353606</v>
      </c>
      <c r="G2169" s="1875">
        <v>8.9804775849351409E-3</v>
      </c>
    </row>
    <row r="2170" spans="1:7" x14ac:dyDescent="0.3">
      <c r="A2170" s="11" t="s">
        <v>1044</v>
      </c>
      <c r="B2170" s="11" t="s">
        <v>1045</v>
      </c>
      <c r="C2170" s="1876">
        <v>1</v>
      </c>
      <c r="D2170" s="1876">
        <v>66.324856456811403</v>
      </c>
      <c r="E2170" s="1877">
        <v>72.331165608502701</v>
      </c>
      <c r="F2170" s="1878">
        <v>8.2361186464032995E-3</v>
      </c>
      <c r="G2170" s="1879">
        <v>8.9804775849369502E-3</v>
      </c>
    </row>
    <row r="2171" spans="1:7" x14ac:dyDescent="0.3">
      <c r="A2171" s="6" t="s">
        <v>6354</v>
      </c>
      <c r="B2171" s="6" t="s">
        <v>6355</v>
      </c>
      <c r="C2171" s="1872">
        <v>68</v>
      </c>
      <c r="D2171" s="1872">
        <v>12270.3700088642</v>
      </c>
      <c r="E2171" s="1873">
        <v>1847.80328608477</v>
      </c>
      <c r="F2171" s="1874">
        <v>1.5008470306097801</v>
      </c>
      <c r="G2171" s="1875">
        <v>0.226013565448139</v>
      </c>
    </row>
    <row r="2172" spans="1:7" x14ac:dyDescent="0.3">
      <c r="A2172" s="11" t="s">
        <v>6354</v>
      </c>
      <c r="B2172" s="11" t="s">
        <v>6356</v>
      </c>
      <c r="C2172" s="1876">
        <v>2274</v>
      </c>
      <c r="D2172" s="1876">
        <v>817562.99999999895</v>
      </c>
      <c r="E2172" s="1877">
        <v>0</v>
      </c>
      <c r="F2172" s="1878">
        <v>100</v>
      </c>
      <c r="G2172" s="1879">
        <v>0</v>
      </c>
    </row>
    <row r="2173" spans="1:7" x14ac:dyDescent="0.3">
      <c r="A2173" s="3449" t="s">
        <v>114</v>
      </c>
      <c r="B2173" s="3450"/>
      <c r="C2173" s="3450"/>
      <c r="D2173" s="3450"/>
      <c r="E2173" s="3450"/>
      <c r="F2173" s="3450"/>
      <c r="G2173" s="3450"/>
    </row>
    <row r="2174" spans="1:7" x14ac:dyDescent="0.3">
      <c r="A2174" s="11" t="s">
        <v>1019</v>
      </c>
      <c r="B2174" s="11" t="s">
        <v>1020</v>
      </c>
      <c r="C2174" s="1884">
        <v>2273</v>
      </c>
      <c r="D2174" s="1884">
        <v>817496.675143542</v>
      </c>
      <c r="E2174" s="1885">
        <v>72.331165608636994</v>
      </c>
      <c r="F2174" s="1886">
        <v>99.9918874928957</v>
      </c>
      <c r="G2174" s="1887">
        <v>8.8471672040520994E-3</v>
      </c>
    </row>
    <row r="2175" spans="1:7" x14ac:dyDescent="0.3">
      <c r="A2175" s="6" t="s">
        <v>1044</v>
      </c>
      <c r="B2175" s="6" t="s">
        <v>1045</v>
      </c>
      <c r="C2175" s="1880">
        <v>1</v>
      </c>
      <c r="D2175" s="1880">
        <v>66.324856456811403</v>
      </c>
      <c r="E2175" s="1881">
        <v>72.331165608502701</v>
      </c>
      <c r="F2175" s="1882">
        <v>8.1125071042612608E-3</v>
      </c>
      <c r="G2175" s="1883">
        <v>8.8471672040567901E-3</v>
      </c>
    </row>
    <row r="2176" spans="1:7" x14ac:dyDescent="0.3">
      <c r="A2176" s="11" t="s">
        <v>6354</v>
      </c>
      <c r="B2176" s="11" t="s">
        <v>6355</v>
      </c>
      <c r="C2176" s="1884">
        <v>0</v>
      </c>
      <c r="D2176" s="1884">
        <v>0</v>
      </c>
      <c r="E2176" s="1885">
        <v>0</v>
      </c>
      <c r="F2176" s="1886">
        <v>0</v>
      </c>
      <c r="G2176" s="1887">
        <v>0</v>
      </c>
    </row>
    <row r="2177" spans="1:7" x14ac:dyDescent="0.3">
      <c r="A2177" s="6" t="s">
        <v>6354</v>
      </c>
      <c r="B2177" s="6" t="s">
        <v>6356</v>
      </c>
      <c r="C2177" s="1880">
        <v>2274</v>
      </c>
      <c r="D2177" s="1880">
        <v>817562.99999999802</v>
      </c>
      <c r="E2177" s="1881">
        <v>0</v>
      </c>
      <c r="F2177" s="1882">
        <v>100</v>
      </c>
      <c r="G2177" s="1883">
        <v>0</v>
      </c>
    </row>
    <row r="2178" spans="1:7" x14ac:dyDescent="0.3">
      <c r="A2178" s="3449" t="s">
        <v>123</v>
      </c>
      <c r="B2178" s="3450"/>
      <c r="C2178" s="3450"/>
      <c r="D2178" s="3450"/>
      <c r="E2178" s="3450"/>
      <c r="F2178" s="3450"/>
      <c r="G2178" s="3450"/>
    </row>
    <row r="2179" spans="1:7" x14ac:dyDescent="0.3">
      <c r="A2179" s="11" t="s">
        <v>1019</v>
      </c>
      <c r="B2179" s="11" t="s">
        <v>1020</v>
      </c>
      <c r="C2179" s="1892">
        <v>2273</v>
      </c>
      <c r="D2179" s="1892">
        <v>817496.675143542</v>
      </c>
      <c r="E2179" s="1893">
        <v>72.331165608636994</v>
      </c>
      <c r="F2179" s="1894">
        <v>99.9918874928957</v>
      </c>
      <c r="G2179" s="1895">
        <v>8.8471672040520994E-3</v>
      </c>
    </row>
    <row r="2180" spans="1:7" x14ac:dyDescent="0.3">
      <c r="A2180" s="6" t="s">
        <v>1044</v>
      </c>
      <c r="B2180" s="6" t="s">
        <v>1045</v>
      </c>
      <c r="C2180" s="1888">
        <v>1</v>
      </c>
      <c r="D2180" s="1888">
        <v>66.324856456811403</v>
      </c>
      <c r="E2180" s="1889">
        <v>72.331165608502701</v>
      </c>
      <c r="F2180" s="1890">
        <v>8.1125071042612608E-3</v>
      </c>
      <c r="G2180" s="1891">
        <v>8.8471672040567901E-3</v>
      </c>
    </row>
    <row r="2181" spans="1:7" x14ac:dyDescent="0.3">
      <c r="A2181" s="11" t="s">
        <v>6354</v>
      </c>
      <c r="B2181" s="11" t="s">
        <v>6355</v>
      </c>
      <c r="C2181" s="1892">
        <v>0</v>
      </c>
      <c r="D2181" s="1892">
        <v>0</v>
      </c>
      <c r="E2181" s="1893">
        <v>0</v>
      </c>
      <c r="F2181" s="1894">
        <v>0</v>
      </c>
      <c r="G2181" s="1895">
        <v>0</v>
      </c>
    </row>
    <row r="2182" spans="1:7" x14ac:dyDescent="0.3">
      <c r="A2182" s="6" t="s">
        <v>6354</v>
      </c>
      <c r="B2182" s="6" t="s">
        <v>6356</v>
      </c>
      <c r="C2182" s="1888">
        <v>2274</v>
      </c>
      <c r="D2182" s="1888">
        <v>817562.99999999802</v>
      </c>
      <c r="E2182" s="1889">
        <v>0</v>
      </c>
      <c r="F2182" s="1890">
        <v>100</v>
      </c>
      <c r="G2182" s="1891">
        <v>0</v>
      </c>
    </row>
    <row r="2183" spans="1:7" x14ac:dyDescent="0.3">
      <c r="A2183" s="3449" t="s">
        <v>563</v>
      </c>
      <c r="B2183" s="3450"/>
      <c r="C2183" s="3450"/>
      <c r="D2183" s="3450"/>
      <c r="E2183" s="3450"/>
      <c r="F2183" s="3450"/>
      <c r="G2183" s="3450"/>
    </row>
    <row r="2184" spans="1:7" x14ac:dyDescent="0.3">
      <c r="A2184" s="11" t="s">
        <v>1023</v>
      </c>
      <c r="B2184" s="11" t="s">
        <v>1107</v>
      </c>
      <c r="C2184" s="1900">
        <v>2269</v>
      </c>
      <c r="D2184" s="1900">
        <v>813834.86980470701</v>
      </c>
      <c r="E2184" s="1901">
        <v>1701.8041249275</v>
      </c>
      <c r="F2184" s="1902">
        <v>99.543994750827594</v>
      </c>
      <c r="G2184" s="1903">
        <v>0.20815571704282601</v>
      </c>
    </row>
    <row r="2185" spans="1:7" x14ac:dyDescent="0.3">
      <c r="A2185" s="6" t="s">
        <v>1021</v>
      </c>
      <c r="B2185" s="6" t="s">
        <v>1106</v>
      </c>
      <c r="C2185" s="1896">
        <v>5</v>
      </c>
      <c r="D2185" s="1896">
        <v>3728.1301952910098</v>
      </c>
      <c r="E2185" s="1897">
        <v>1701.8041249268299</v>
      </c>
      <c r="F2185" s="1898">
        <v>0.45600524917235902</v>
      </c>
      <c r="G2185" s="1899">
        <v>0.20815571704282501</v>
      </c>
    </row>
    <row r="2186" spans="1:7" x14ac:dyDescent="0.3">
      <c r="A2186" s="11" t="s">
        <v>6354</v>
      </c>
      <c r="B2186" s="11" t="s">
        <v>6355</v>
      </c>
      <c r="C2186" s="1900">
        <v>2274</v>
      </c>
      <c r="D2186" s="1900">
        <v>817562.99999999802</v>
      </c>
      <c r="E2186" s="1901">
        <v>2.2549655135834901E-8</v>
      </c>
      <c r="F2186" s="1902">
        <v>100</v>
      </c>
      <c r="G2186" s="1903">
        <v>9.4764635797477106E-14</v>
      </c>
    </row>
    <row r="2187" spans="1:7" x14ac:dyDescent="0.3">
      <c r="A2187" s="6" t="s">
        <v>6354</v>
      </c>
      <c r="B2187" s="6" t="s">
        <v>6356</v>
      </c>
      <c r="C2187" s="1896">
        <v>2274</v>
      </c>
      <c r="D2187" s="1896">
        <v>817562.99999999802</v>
      </c>
      <c r="E2187" s="1897">
        <v>0</v>
      </c>
      <c r="F2187" s="1898">
        <v>100</v>
      </c>
      <c r="G2187" s="1899">
        <v>0</v>
      </c>
    </row>
    <row r="2188" spans="1:7" x14ac:dyDescent="0.3">
      <c r="A2188" s="3449" t="s">
        <v>561</v>
      </c>
      <c r="B2188" s="3450"/>
      <c r="C2188" s="3450"/>
      <c r="D2188" s="3450"/>
      <c r="E2188" s="3450"/>
      <c r="F2188" s="3450"/>
      <c r="G2188" s="3450"/>
    </row>
    <row r="2189" spans="1:7" x14ac:dyDescent="0.3">
      <c r="A2189" s="11" t="s">
        <v>1023</v>
      </c>
      <c r="B2189" s="11" t="s">
        <v>1107</v>
      </c>
      <c r="C2189" s="1908">
        <v>2094</v>
      </c>
      <c r="D2189" s="1908">
        <v>734558.81600826595</v>
      </c>
      <c r="E2189" s="1909">
        <v>9158.6920929471507</v>
      </c>
      <c r="F2189" s="1910">
        <v>89.847365402821097</v>
      </c>
      <c r="G2189" s="1911">
        <v>1.1202429773544</v>
      </c>
    </row>
    <row r="2190" spans="1:7" x14ac:dyDescent="0.3">
      <c r="A2190" s="6" t="s">
        <v>1021</v>
      </c>
      <c r="B2190" s="6" t="s">
        <v>1106</v>
      </c>
      <c r="C2190" s="1904">
        <v>180</v>
      </c>
      <c r="D2190" s="1904">
        <v>83004.183991733604</v>
      </c>
      <c r="E2190" s="1905">
        <v>9158.6920929480293</v>
      </c>
      <c r="F2190" s="1906">
        <v>10.152634597178899</v>
      </c>
      <c r="G2190" s="1907">
        <v>1.1202429773544</v>
      </c>
    </row>
    <row r="2191" spans="1:7" x14ac:dyDescent="0.3">
      <c r="A2191" s="11" t="s">
        <v>6354</v>
      </c>
      <c r="B2191" s="11" t="s">
        <v>6355</v>
      </c>
      <c r="C2191" s="1908">
        <v>2274</v>
      </c>
      <c r="D2191" s="1908">
        <v>817562.99999999895</v>
      </c>
      <c r="E2191" s="1909">
        <v>1.3410663947457999E-8</v>
      </c>
      <c r="F2191" s="1910">
        <v>100</v>
      </c>
      <c r="G2191" s="1911">
        <v>1.45362315675074E-14</v>
      </c>
    </row>
    <row r="2192" spans="1:7" x14ac:dyDescent="0.3">
      <c r="A2192" s="6" t="s">
        <v>6354</v>
      </c>
      <c r="B2192" s="6" t="s">
        <v>6356</v>
      </c>
      <c r="C2192" s="1904">
        <v>2274</v>
      </c>
      <c r="D2192" s="1904">
        <v>817562.99999999895</v>
      </c>
      <c r="E2192" s="1905">
        <v>0</v>
      </c>
      <c r="F2192" s="1906">
        <v>100</v>
      </c>
      <c r="G2192" s="1907">
        <v>0</v>
      </c>
    </row>
    <row r="2193" spans="1:7" x14ac:dyDescent="0.3">
      <c r="A2193" s="3449" t="s">
        <v>567</v>
      </c>
      <c r="B2193" s="3450"/>
      <c r="C2193" s="3450"/>
      <c r="D2193" s="3450"/>
      <c r="E2193" s="3450"/>
      <c r="F2193" s="3450"/>
      <c r="G2193" s="3450"/>
    </row>
    <row r="2194" spans="1:7" x14ac:dyDescent="0.3">
      <c r="A2194" s="11" t="s">
        <v>1023</v>
      </c>
      <c r="B2194" s="11" t="s">
        <v>1107</v>
      </c>
      <c r="C2194" s="1916">
        <v>2227</v>
      </c>
      <c r="D2194" s="1916">
        <v>805086.54111983301</v>
      </c>
      <c r="E2194" s="1917">
        <v>4376.1947709419501</v>
      </c>
      <c r="F2194" s="1918">
        <v>98.473945264136702</v>
      </c>
      <c r="G2194" s="1919">
        <v>0.53527309466568596</v>
      </c>
    </row>
    <row r="2195" spans="1:7" x14ac:dyDescent="0.3">
      <c r="A2195" s="6" t="s">
        <v>1021</v>
      </c>
      <c r="B2195" s="6" t="s">
        <v>1106</v>
      </c>
      <c r="C2195" s="1912">
        <v>47</v>
      </c>
      <c r="D2195" s="1912">
        <v>12476.458880165799</v>
      </c>
      <c r="E2195" s="1913">
        <v>4376.1947709415599</v>
      </c>
      <c r="F2195" s="1914">
        <v>1.5260547358632599</v>
      </c>
      <c r="G2195" s="1915">
        <v>0.53527309466567896</v>
      </c>
    </row>
    <row r="2196" spans="1:7" x14ac:dyDescent="0.3">
      <c r="A2196" s="11" t="s">
        <v>6354</v>
      </c>
      <c r="B2196" s="11" t="s">
        <v>6355</v>
      </c>
      <c r="C2196" s="1916">
        <v>2274</v>
      </c>
      <c r="D2196" s="1916">
        <v>817562.99999999802</v>
      </c>
      <c r="E2196" s="1917">
        <v>2.1546496190974499E-8</v>
      </c>
      <c r="F2196" s="1918">
        <v>100</v>
      </c>
      <c r="G2196" s="1919">
        <v>1.78031750616652E-14</v>
      </c>
    </row>
    <row r="2197" spans="1:7" x14ac:dyDescent="0.3">
      <c r="A2197" s="6" t="s">
        <v>6354</v>
      </c>
      <c r="B2197" s="6" t="s">
        <v>6356</v>
      </c>
      <c r="C2197" s="1912">
        <v>2274</v>
      </c>
      <c r="D2197" s="1912">
        <v>817562.99999999802</v>
      </c>
      <c r="E2197" s="1913">
        <v>0</v>
      </c>
      <c r="F2197" s="1914">
        <v>100</v>
      </c>
      <c r="G2197" s="1915">
        <v>0</v>
      </c>
    </row>
    <row r="2198" spans="1:7" x14ac:dyDescent="0.3">
      <c r="A2198" s="3449" t="s">
        <v>565</v>
      </c>
      <c r="B2198" s="3450"/>
      <c r="C2198" s="3450"/>
      <c r="D2198" s="3450"/>
      <c r="E2198" s="3450"/>
      <c r="F2198" s="3450"/>
      <c r="G2198" s="3450"/>
    </row>
    <row r="2199" spans="1:7" x14ac:dyDescent="0.3">
      <c r="A2199" s="11" t="s">
        <v>1023</v>
      </c>
      <c r="B2199" s="11" t="s">
        <v>1107</v>
      </c>
      <c r="C2199" s="1924">
        <v>2247</v>
      </c>
      <c r="D2199" s="1924">
        <v>803819.920537845</v>
      </c>
      <c r="E2199" s="1925">
        <v>6600.7592729883299</v>
      </c>
      <c r="F2199" s="1926">
        <v>98.319018905924807</v>
      </c>
      <c r="G2199" s="1927">
        <v>0.80737010762309502</v>
      </c>
    </row>
    <row r="2200" spans="1:7" x14ac:dyDescent="0.3">
      <c r="A2200" s="6" t="s">
        <v>1021</v>
      </c>
      <c r="B2200" s="6" t="s">
        <v>1106</v>
      </c>
      <c r="C2200" s="1920">
        <v>27</v>
      </c>
      <c r="D2200" s="1920">
        <v>13743.079462154001</v>
      </c>
      <c r="E2200" s="1921">
        <v>6600.7592729865601</v>
      </c>
      <c r="F2200" s="1922">
        <v>1.6809810940751999</v>
      </c>
      <c r="G2200" s="1923">
        <v>0.80737010762309303</v>
      </c>
    </row>
    <row r="2201" spans="1:7" x14ac:dyDescent="0.3">
      <c r="A2201" s="11" t="s">
        <v>6354</v>
      </c>
      <c r="B2201" s="11" t="s">
        <v>6355</v>
      </c>
      <c r="C2201" s="1924">
        <v>2274</v>
      </c>
      <c r="D2201" s="1924">
        <v>817562.99999999802</v>
      </c>
      <c r="E2201" s="1925">
        <v>2.3425404347640602E-8</v>
      </c>
      <c r="F2201" s="1926">
        <v>100</v>
      </c>
      <c r="G2201" s="1927">
        <v>2.0557335828564899E-14</v>
      </c>
    </row>
    <row r="2202" spans="1:7" x14ac:dyDescent="0.3">
      <c r="A2202" s="6" t="s">
        <v>6354</v>
      </c>
      <c r="B2202" s="6" t="s">
        <v>6356</v>
      </c>
      <c r="C2202" s="1920">
        <v>2274</v>
      </c>
      <c r="D2202" s="1920">
        <v>817562.99999999802</v>
      </c>
      <c r="E2202" s="1921">
        <v>0</v>
      </c>
      <c r="F2202" s="1922">
        <v>100</v>
      </c>
      <c r="G2202" s="1923">
        <v>0</v>
      </c>
    </row>
    <row r="2203" spans="1:7" x14ac:dyDescent="0.3">
      <c r="A2203" s="3449" t="s">
        <v>559</v>
      </c>
      <c r="B2203" s="3450"/>
      <c r="C2203" s="3450"/>
      <c r="D2203" s="3450"/>
      <c r="E2203" s="3450"/>
      <c r="F2203" s="3450"/>
      <c r="G2203" s="3450"/>
    </row>
    <row r="2204" spans="1:7" x14ac:dyDescent="0.3">
      <c r="A2204" s="11" t="s">
        <v>1023</v>
      </c>
      <c r="B2204" s="11" t="s">
        <v>1107</v>
      </c>
      <c r="C2204" s="1932">
        <v>2231</v>
      </c>
      <c r="D2204" s="1932">
        <v>795160.85749762098</v>
      </c>
      <c r="E2204" s="1933">
        <v>7462.17562186337</v>
      </c>
      <c r="F2204" s="1934">
        <v>97.2598879227194</v>
      </c>
      <c r="G2204" s="1935">
        <v>0.91273401827886302</v>
      </c>
    </row>
    <row r="2205" spans="1:7" x14ac:dyDescent="0.3">
      <c r="A2205" s="6" t="s">
        <v>1021</v>
      </c>
      <c r="B2205" s="6" t="s">
        <v>1106</v>
      </c>
      <c r="C2205" s="1928">
        <v>43</v>
      </c>
      <c r="D2205" s="1928">
        <v>22402.142502377199</v>
      </c>
      <c r="E2205" s="1929">
        <v>7462.1756218611499</v>
      </c>
      <c r="F2205" s="1930">
        <v>2.7401120772805601</v>
      </c>
      <c r="G2205" s="1931">
        <v>0.91273401827886103</v>
      </c>
    </row>
    <row r="2206" spans="1:7" x14ac:dyDescent="0.3">
      <c r="A2206" s="11" t="s">
        <v>6354</v>
      </c>
      <c r="B2206" s="11" t="s">
        <v>6355</v>
      </c>
      <c r="C2206" s="1932">
        <v>2274</v>
      </c>
      <c r="D2206" s="1932">
        <v>817562.99999999802</v>
      </c>
      <c r="E2206" s="1933">
        <v>2.3511531087821202E-8</v>
      </c>
      <c r="F2206" s="1934">
        <v>100</v>
      </c>
      <c r="G2206" s="1935">
        <v>1.45362315675074E-14</v>
      </c>
    </row>
    <row r="2207" spans="1:7" x14ac:dyDescent="0.3">
      <c r="A2207" s="6" t="s">
        <v>6354</v>
      </c>
      <c r="B2207" s="6" t="s">
        <v>6356</v>
      </c>
      <c r="C2207" s="1928">
        <v>2274</v>
      </c>
      <c r="D2207" s="1928">
        <v>817562.99999999802</v>
      </c>
      <c r="E2207" s="1929">
        <v>0</v>
      </c>
      <c r="F2207" s="1930">
        <v>100</v>
      </c>
      <c r="G2207" s="1931">
        <v>0</v>
      </c>
    </row>
    <row r="2208" spans="1:7" x14ac:dyDescent="0.3">
      <c r="A2208" s="3449" t="s">
        <v>967</v>
      </c>
      <c r="B2208" s="3450"/>
      <c r="C2208" s="3450"/>
      <c r="D2208" s="3450"/>
      <c r="E2208" s="3450"/>
      <c r="F2208" s="3450"/>
      <c r="G2208" s="3450"/>
    </row>
    <row r="2209" spans="1:7" x14ac:dyDescent="0.3">
      <c r="A2209" s="11" t="s">
        <v>1021</v>
      </c>
      <c r="B2209" s="11" t="s">
        <v>1106</v>
      </c>
      <c r="C2209" s="1940">
        <v>1064</v>
      </c>
      <c r="D2209" s="1940">
        <v>411097.92601847299</v>
      </c>
      <c r="E2209" s="1941">
        <v>8775.9109152594792</v>
      </c>
      <c r="F2209" s="1942">
        <v>64.911935864949896</v>
      </c>
      <c r="G2209" s="1943">
        <v>1.5622999136912401</v>
      </c>
    </row>
    <row r="2210" spans="1:7" x14ac:dyDescent="0.3">
      <c r="A2210" s="6" t="s">
        <v>1023</v>
      </c>
      <c r="B2210" s="6" t="s">
        <v>1107</v>
      </c>
      <c r="C2210" s="1936">
        <v>878</v>
      </c>
      <c r="D2210" s="1936">
        <v>222218.45954390999</v>
      </c>
      <c r="E2210" s="1937">
        <v>10657.019462825499</v>
      </c>
      <c r="F2210" s="1938">
        <v>35.088064135050097</v>
      </c>
      <c r="G2210" s="1939">
        <v>1.5622999136912299</v>
      </c>
    </row>
    <row r="2211" spans="1:7" x14ac:dyDescent="0.3">
      <c r="A2211" s="11" t="s">
        <v>1019</v>
      </c>
      <c r="B2211" s="11" t="s">
        <v>1020</v>
      </c>
      <c r="C2211" s="1940">
        <v>332</v>
      </c>
      <c r="D2211" s="1940">
        <v>184246.61443761599</v>
      </c>
      <c r="E2211" s="1941">
        <v>3576.9196156644798</v>
      </c>
      <c r="F2211" s="1942">
        <v>100</v>
      </c>
      <c r="G2211" s="1943">
        <v>0</v>
      </c>
    </row>
    <row r="2212" spans="1:7" x14ac:dyDescent="0.3">
      <c r="A2212" s="6" t="s">
        <v>6354</v>
      </c>
      <c r="B2212" s="6" t="s">
        <v>6355</v>
      </c>
      <c r="C2212" s="1936">
        <v>1942</v>
      </c>
      <c r="D2212" s="1936">
        <v>633316.38556238299</v>
      </c>
      <c r="E2212" s="1937">
        <v>3576.9196156651201</v>
      </c>
      <c r="F2212" s="1938">
        <v>77.463924561456807</v>
      </c>
      <c r="G2212" s="1939">
        <v>0.43750996750888099</v>
      </c>
    </row>
    <row r="2213" spans="1:7" x14ac:dyDescent="0.3">
      <c r="A2213" s="11" t="s">
        <v>6354</v>
      </c>
      <c r="B2213" s="11" t="s">
        <v>6356</v>
      </c>
      <c r="C2213" s="1940">
        <v>2274</v>
      </c>
      <c r="D2213" s="1940">
        <v>817563</v>
      </c>
      <c r="E2213" s="1941">
        <v>0</v>
      </c>
      <c r="F2213" s="1942">
        <v>100</v>
      </c>
      <c r="G2213" s="1943">
        <v>0</v>
      </c>
    </row>
    <row r="2214" spans="1:7" x14ac:dyDescent="0.3">
      <c r="A2214" s="3449" t="s">
        <v>142</v>
      </c>
      <c r="B2214" s="3450"/>
      <c r="C2214" s="3450"/>
      <c r="D2214" s="3450"/>
      <c r="E2214" s="3450"/>
      <c r="F2214" s="3450"/>
      <c r="G2214" s="3450"/>
    </row>
    <row r="2215" spans="1:7" x14ac:dyDescent="0.3">
      <c r="A2215" s="11" t="s">
        <v>1021</v>
      </c>
      <c r="B2215" s="11" t="s">
        <v>1106</v>
      </c>
      <c r="C2215" s="1948">
        <v>1470</v>
      </c>
      <c r="D2215" s="1948">
        <v>540214.50338660099</v>
      </c>
      <c r="E2215" s="1949">
        <v>14525.827743993499</v>
      </c>
      <c r="F2215" s="1950">
        <v>66.076192707668994</v>
      </c>
      <c r="G2215" s="1951">
        <v>1.7767227411212101</v>
      </c>
    </row>
    <row r="2216" spans="1:7" x14ac:dyDescent="0.3">
      <c r="A2216" s="6" t="s">
        <v>1023</v>
      </c>
      <c r="B2216" s="6" t="s">
        <v>1107</v>
      </c>
      <c r="C2216" s="1944">
        <v>804</v>
      </c>
      <c r="D2216" s="1944">
        <v>277348.4966134</v>
      </c>
      <c r="E2216" s="1945">
        <v>14525.8277439924</v>
      </c>
      <c r="F2216" s="1946">
        <v>33.923807292330999</v>
      </c>
      <c r="G2216" s="1947">
        <v>1.7767227411212101</v>
      </c>
    </row>
    <row r="2217" spans="1:7" x14ac:dyDescent="0.3">
      <c r="A2217" s="11" t="s">
        <v>6354</v>
      </c>
      <c r="B2217" s="11" t="s">
        <v>6355</v>
      </c>
      <c r="C2217" s="1948">
        <v>2274</v>
      </c>
      <c r="D2217" s="1948">
        <v>817563.00000000105</v>
      </c>
      <c r="E2217" s="1949">
        <v>9.4956252687558108E-9</v>
      </c>
      <c r="F2217" s="1950">
        <v>100</v>
      </c>
      <c r="G2217" s="1951">
        <v>1.00184062299098E-13</v>
      </c>
    </row>
    <row r="2218" spans="1:7" x14ac:dyDescent="0.3">
      <c r="A2218" s="6" t="s">
        <v>6354</v>
      </c>
      <c r="B2218" s="6" t="s">
        <v>6356</v>
      </c>
      <c r="C2218" s="1944">
        <v>2274</v>
      </c>
      <c r="D2218" s="1944">
        <v>817563.00000000105</v>
      </c>
      <c r="E2218" s="1945">
        <v>0</v>
      </c>
      <c r="F2218" s="1946">
        <v>100</v>
      </c>
      <c r="G2218" s="1947">
        <v>0</v>
      </c>
    </row>
    <row r="2219" spans="1:7" x14ac:dyDescent="0.3">
      <c r="A2219" s="3449" t="s">
        <v>512</v>
      </c>
      <c r="B2219" s="3450"/>
      <c r="C2219" s="3450"/>
      <c r="D2219" s="3450"/>
      <c r="E2219" s="3450"/>
      <c r="F2219" s="3450"/>
      <c r="G2219" s="3450"/>
    </row>
    <row r="2220" spans="1:7" x14ac:dyDescent="0.3">
      <c r="A2220" s="11" t="s">
        <v>1023</v>
      </c>
      <c r="B2220" s="11" t="s">
        <v>1107</v>
      </c>
      <c r="C2220" s="1956">
        <v>2265</v>
      </c>
      <c r="D2220" s="1956">
        <v>811717.32857920299</v>
      </c>
      <c r="E2220" s="1957">
        <v>3373.8008926105599</v>
      </c>
      <c r="F2220" s="1958">
        <v>99.284988261357796</v>
      </c>
      <c r="G2220" s="1959">
        <v>0.41266555514478598</v>
      </c>
    </row>
    <row r="2221" spans="1:7" x14ac:dyDescent="0.3">
      <c r="A2221" s="6" t="s">
        <v>1021</v>
      </c>
      <c r="B2221" s="6" t="s">
        <v>1106</v>
      </c>
      <c r="C2221" s="1952">
        <v>9</v>
      </c>
      <c r="D2221" s="1952">
        <v>5845.6714207950199</v>
      </c>
      <c r="E2221" s="1953">
        <v>3373.8008926083298</v>
      </c>
      <c r="F2221" s="1954">
        <v>0.71501173864216305</v>
      </c>
      <c r="G2221" s="1955">
        <v>0.41266555514478298</v>
      </c>
    </row>
    <row r="2222" spans="1:7" x14ac:dyDescent="0.3">
      <c r="A2222" s="11" t="s">
        <v>6354</v>
      </c>
      <c r="B2222" s="11" t="s">
        <v>6355</v>
      </c>
      <c r="C2222" s="1956">
        <v>2274</v>
      </c>
      <c r="D2222" s="1956">
        <v>817562.99999999802</v>
      </c>
      <c r="E2222" s="1957">
        <v>2.2554548528627201E-8</v>
      </c>
      <c r="F2222" s="1958">
        <v>100</v>
      </c>
      <c r="G2222" s="1959">
        <v>0</v>
      </c>
    </row>
    <row r="2223" spans="1:7" x14ac:dyDescent="0.3">
      <c r="A2223" s="6" t="s">
        <v>6354</v>
      </c>
      <c r="B2223" s="6" t="s">
        <v>6356</v>
      </c>
      <c r="C2223" s="1952">
        <v>2274</v>
      </c>
      <c r="D2223" s="1952">
        <v>817562.99999999802</v>
      </c>
      <c r="E2223" s="1953">
        <v>0</v>
      </c>
      <c r="F2223" s="1954">
        <v>100</v>
      </c>
      <c r="G2223" s="1955">
        <v>0</v>
      </c>
    </row>
    <row r="2224" spans="1:7" x14ac:dyDescent="0.3">
      <c r="A2224" s="3449" t="s">
        <v>195</v>
      </c>
      <c r="B2224" s="3450"/>
      <c r="C2224" s="3450"/>
      <c r="D2224" s="3450"/>
      <c r="E2224" s="3450"/>
      <c r="F2224" s="3450"/>
      <c r="G2224" s="3450"/>
    </row>
    <row r="2225" spans="1:7" x14ac:dyDescent="0.3">
      <c r="A2225" s="11" t="s">
        <v>1021</v>
      </c>
      <c r="B2225" s="11" t="s">
        <v>1106</v>
      </c>
      <c r="C2225" s="1964">
        <v>2033</v>
      </c>
      <c r="D2225" s="1964">
        <v>712809.75121671194</v>
      </c>
      <c r="E2225" s="1965">
        <v>7225.7930747113196</v>
      </c>
      <c r="F2225" s="1966">
        <v>94.077739509950902</v>
      </c>
      <c r="G2225" s="1967">
        <v>1.0837926489666301</v>
      </c>
    </row>
    <row r="2226" spans="1:7" x14ac:dyDescent="0.3">
      <c r="A2226" s="6" t="s">
        <v>1023</v>
      </c>
      <c r="B2226" s="6" t="s">
        <v>1107</v>
      </c>
      <c r="C2226" s="1960">
        <v>147</v>
      </c>
      <c r="D2226" s="1960">
        <v>44871.879878724503</v>
      </c>
      <c r="E2226" s="1961">
        <v>8275.9798542739809</v>
      </c>
      <c r="F2226" s="1962">
        <v>5.9222604900490801</v>
      </c>
      <c r="G2226" s="1963">
        <v>1.0837926489666401</v>
      </c>
    </row>
    <row r="2227" spans="1:7" x14ac:dyDescent="0.3">
      <c r="A2227" s="11" t="s">
        <v>1044</v>
      </c>
      <c r="B2227" s="11" t="s">
        <v>1045</v>
      </c>
      <c r="C2227" s="1964">
        <v>93</v>
      </c>
      <c r="D2227" s="1964">
        <v>58538.954788752002</v>
      </c>
      <c r="E2227" s="1965">
        <v>0.34436598578877903</v>
      </c>
      <c r="F2227" s="1966">
        <v>97.758210708324</v>
      </c>
      <c r="G2227" s="1967">
        <v>2.4629212246205201</v>
      </c>
    </row>
    <row r="2228" spans="1:7" x14ac:dyDescent="0.3">
      <c r="A2228" s="6" t="s">
        <v>1017</v>
      </c>
      <c r="B2228" s="6"/>
      <c r="C2228" s="1960">
        <v>1</v>
      </c>
      <c r="D2228" s="1960">
        <v>1342.4141158115301</v>
      </c>
      <c r="E2228" s="1961">
        <v>1489.1813491338</v>
      </c>
      <c r="F2228" s="1962">
        <v>2.24178929167604</v>
      </c>
      <c r="G2228" s="1963">
        <v>2.4629212246205201</v>
      </c>
    </row>
    <row r="2229" spans="1:7" x14ac:dyDescent="0.3">
      <c r="A2229" s="11" t="s">
        <v>6354</v>
      </c>
      <c r="B2229" s="11" t="s">
        <v>6355</v>
      </c>
      <c r="C2229" s="1964">
        <v>2180</v>
      </c>
      <c r="D2229" s="1964">
        <v>757681.63109543605</v>
      </c>
      <c r="E2229" s="1965">
        <v>1489.1913408495</v>
      </c>
      <c r="F2229" s="1966">
        <v>92.675626354841995</v>
      </c>
      <c r="G2229" s="1967">
        <v>0.182150041140587</v>
      </c>
    </row>
    <row r="2230" spans="1:7" x14ac:dyDescent="0.3">
      <c r="A2230" s="6" t="s">
        <v>6354</v>
      </c>
      <c r="B2230" s="6" t="s">
        <v>6356</v>
      </c>
      <c r="C2230" s="1960">
        <v>2274</v>
      </c>
      <c r="D2230" s="1960">
        <v>817563</v>
      </c>
      <c r="E2230" s="1961">
        <v>0</v>
      </c>
      <c r="F2230" s="1962">
        <v>100</v>
      </c>
      <c r="G2230" s="1963">
        <v>0</v>
      </c>
    </row>
    <row r="2231" spans="1:7" x14ac:dyDescent="0.3">
      <c r="A2231" s="3449" t="s">
        <v>197</v>
      </c>
      <c r="B2231" s="3450"/>
      <c r="C2231" s="3450"/>
      <c r="D2231" s="3450"/>
      <c r="E2231" s="3450"/>
      <c r="F2231" s="3450"/>
      <c r="G2231" s="3450"/>
    </row>
    <row r="2232" spans="1:7" x14ac:dyDescent="0.3">
      <c r="A2232" s="11" t="s">
        <v>1021</v>
      </c>
      <c r="B2232" s="11" t="s">
        <v>1106</v>
      </c>
      <c r="C2232" s="1972">
        <v>2064</v>
      </c>
      <c r="D2232" s="1972">
        <v>716391.97444758599</v>
      </c>
      <c r="E2232" s="1973">
        <v>10751.009550343</v>
      </c>
      <c r="F2232" s="1974">
        <v>87.625293029110495</v>
      </c>
      <c r="G2232" s="1975">
        <v>1.31500686189855</v>
      </c>
    </row>
    <row r="2233" spans="1:7" x14ac:dyDescent="0.3">
      <c r="A2233" s="6" t="s">
        <v>1023</v>
      </c>
      <c r="B2233" s="6" t="s">
        <v>1107</v>
      </c>
      <c r="C2233" s="1968">
        <v>210</v>
      </c>
      <c r="D2233" s="1968">
        <v>101171.02555241399</v>
      </c>
      <c r="E2233" s="1969">
        <v>10751.009550343701</v>
      </c>
      <c r="F2233" s="1970">
        <v>12.3747069708895</v>
      </c>
      <c r="G2233" s="1971">
        <v>1.31500686189855</v>
      </c>
    </row>
    <row r="2234" spans="1:7" x14ac:dyDescent="0.3">
      <c r="A2234" s="11" t="s">
        <v>6354</v>
      </c>
      <c r="B2234" s="11" t="s">
        <v>6355</v>
      </c>
      <c r="C2234" s="1972">
        <v>2274</v>
      </c>
      <c r="D2234" s="1972">
        <v>817562.99999999895</v>
      </c>
      <c r="E2234" s="1973">
        <v>1.3604592139976999E-8</v>
      </c>
      <c r="F2234" s="1974">
        <v>100</v>
      </c>
      <c r="G2234" s="1975">
        <v>1.78031750616652E-14</v>
      </c>
    </row>
    <row r="2235" spans="1:7" x14ac:dyDescent="0.3">
      <c r="A2235" s="6" t="s">
        <v>6354</v>
      </c>
      <c r="B2235" s="6" t="s">
        <v>6356</v>
      </c>
      <c r="C2235" s="1968">
        <v>2274</v>
      </c>
      <c r="D2235" s="1968">
        <v>817562.99999999895</v>
      </c>
      <c r="E2235" s="1969">
        <v>0</v>
      </c>
      <c r="F2235" s="1970">
        <v>100</v>
      </c>
      <c r="G2235" s="1971">
        <v>0</v>
      </c>
    </row>
    <row r="2236" spans="1:7" x14ac:dyDescent="0.3">
      <c r="A2236" s="3449" t="s">
        <v>110</v>
      </c>
      <c r="B2236" s="3450"/>
      <c r="C2236" s="3450"/>
      <c r="D2236" s="3450"/>
      <c r="E2236" s="3450"/>
      <c r="F2236" s="3450"/>
      <c r="G2236" s="3450"/>
    </row>
    <row r="2237" spans="1:7" x14ac:dyDescent="0.3">
      <c r="A2237" s="11" t="s">
        <v>6359</v>
      </c>
      <c r="B2237" s="11"/>
      <c r="C2237" s="1980">
        <v>504</v>
      </c>
      <c r="D2237" s="1980">
        <v>209139.07521787201</v>
      </c>
      <c r="E2237" s="1981">
        <v>15655.2912111881</v>
      </c>
      <c r="F2237" s="1982">
        <v>27.553682460700699</v>
      </c>
      <c r="G2237" s="1983">
        <v>2.06255526537152</v>
      </c>
    </row>
    <row r="2238" spans="1:7" x14ac:dyDescent="0.3">
      <c r="A2238" s="6" t="s">
        <v>6360</v>
      </c>
      <c r="B2238" s="6"/>
      <c r="C2238" s="1976">
        <v>345</v>
      </c>
      <c r="D2238" s="1976">
        <v>125722.083616697</v>
      </c>
      <c r="E2238" s="1977">
        <v>9839.4320526941101</v>
      </c>
      <c r="F2238" s="1978">
        <v>16.5636496511394</v>
      </c>
      <c r="G2238" s="1979">
        <v>1.2963266221862699</v>
      </c>
    </row>
    <row r="2239" spans="1:7" x14ac:dyDescent="0.3">
      <c r="A2239" s="11" t="s">
        <v>1219</v>
      </c>
      <c r="B2239" s="11"/>
      <c r="C2239" s="1980">
        <v>372</v>
      </c>
      <c r="D2239" s="1980">
        <v>101708.453696596</v>
      </c>
      <c r="E2239" s="1981">
        <v>10276.1914249536</v>
      </c>
      <c r="F2239" s="1982">
        <v>13.39989876978</v>
      </c>
      <c r="G2239" s="1983">
        <v>1.35386910695074</v>
      </c>
    </row>
    <row r="2240" spans="1:7" x14ac:dyDescent="0.3">
      <c r="A2240" s="6" t="s">
        <v>6358</v>
      </c>
      <c r="B2240" s="6"/>
      <c r="C2240" s="1976">
        <v>281</v>
      </c>
      <c r="D2240" s="1976">
        <v>96848.455623329501</v>
      </c>
      <c r="E2240" s="1977">
        <v>4606.2511799450303</v>
      </c>
      <c r="F2240" s="1978">
        <v>12.7596031027416</v>
      </c>
      <c r="G2240" s="1979">
        <v>0.60686513908719797</v>
      </c>
    </row>
    <row r="2241" spans="1:7" x14ac:dyDescent="0.3">
      <c r="A2241" s="11" t="s">
        <v>6361</v>
      </c>
      <c r="B2241" s="11"/>
      <c r="C2241" s="1980">
        <v>214</v>
      </c>
      <c r="D2241" s="1980">
        <v>73036.190337013395</v>
      </c>
      <c r="E2241" s="1981">
        <v>5383.3101666132397</v>
      </c>
      <c r="F2241" s="1982">
        <v>9.6223816357077805</v>
      </c>
      <c r="G2241" s="1983">
        <v>0.70924110586280198</v>
      </c>
    </row>
    <row r="2242" spans="1:7" x14ac:dyDescent="0.3">
      <c r="A2242" s="6" t="s">
        <v>6362</v>
      </c>
      <c r="B2242" s="6"/>
      <c r="C2242" s="1976">
        <v>157</v>
      </c>
      <c r="D2242" s="1976">
        <v>50656.450796999299</v>
      </c>
      <c r="E2242" s="1977">
        <v>7060.3331818260503</v>
      </c>
      <c r="F2242" s="1978">
        <v>6.6738927596030102</v>
      </c>
      <c r="G2242" s="1979">
        <v>0.93018582053908105</v>
      </c>
    </row>
    <row r="2243" spans="1:7" x14ac:dyDescent="0.3">
      <c r="A2243" s="11" t="s">
        <v>6363</v>
      </c>
      <c r="B2243" s="11"/>
      <c r="C2243" s="1980">
        <v>96</v>
      </c>
      <c r="D2243" s="1980">
        <v>33839.286706799197</v>
      </c>
      <c r="E2243" s="1981">
        <v>5625.1149219466597</v>
      </c>
      <c r="F2243" s="1982">
        <v>4.4582628073898798</v>
      </c>
      <c r="G2243" s="1983">
        <v>0.74109845530214802</v>
      </c>
    </row>
    <row r="2244" spans="1:7" x14ac:dyDescent="0.3">
      <c r="A2244" s="6" t="s">
        <v>6365</v>
      </c>
      <c r="B2244" s="6"/>
      <c r="C2244" s="1976">
        <v>57</v>
      </c>
      <c r="D2244" s="1976">
        <v>19894.550111578599</v>
      </c>
      <c r="E2244" s="1977">
        <v>5273.5942284503899</v>
      </c>
      <c r="F2244" s="1978">
        <v>2.62106981156857</v>
      </c>
      <c r="G2244" s="1979">
        <v>0.69478621567479204</v>
      </c>
    </row>
    <row r="2245" spans="1:7" x14ac:dyDescent="0.3">
      <c r="A2245" s="11" t="s">
        <v>6357</v>
      </c>
      <c r="B2245" s="11"/>
      <c r="C2245" s="1980">
        <v>45</v>
      </c>
      <c r="D2245" s="1980">
        <v>14878.6998074943</v>
      </c>
      <c r="E2245" s="1981">
        <v>5188.6499691731597</v>
      </c>
      <c r="F2245" s="1982">
        <v>1.96024090427245</v>
      </c>
      <c r="G2245" s="1983">
        <v>0.68359498566202703</v>
      </c>
    </row>
    <row r="2246" spans="1:7" x14ac:dyDescent="0.3">
      <c r="A2246" s="6" t="s">
        <v>6364</v>
      </c>
      <c r="B2246" s="6"/>
      <c r="C2246" s="1976">
        <v>57</v>
      </c>
      <c r="D2246" s="1976">
        <v>14518.417794880401</v>
      </c>
      <c r="E2246" s="1977">
        <v>2404.1276308260799</v>
      </c>
      <c r="F2246" s="1978">
        <v>1.9127744221646801</v>
      </c>
      <c r="G2246" s="1979">
        <v>0.31673937039828298</v>
      </c>
    </row>
    <row r="2247" spans="1:7" x14ac:dyDescent="0.3">
      <c r="A2247" s="11" t="s">
        <v>1063</v>
      </c>
      <c r="B2247" s="11"/>
      <c r="C2247" s="1980">
        <v>24</v>
      </c>
      <c r="D2247" s="1980">
        <v>9700.8210732348907</v>
      </c>
      <c r="E2247" s="1981">
        <v>1159.0847020159699</v>
      </c>
      <c r="F2247" s="1982">
        <v>1.27806505399114</v>
      </c>
      <c r="G2247" s="1983">
        <v>0.15270725371931801</v>
      </c>
    </row>
    <row r="2248" spans="1:7" x14ac:dyDescent="0.3">
      <c r="A2248" s="6" t="s">
        <v>1065</v>
      </c>
      <c r="B2248" s="6"/>
      <c r="C2248" s="1976">
        <v>13</v>
      </c>
      <c r="D2248" s="1976">
        <v>4550.7412244868901</v>
      </c>
      <c r="E2248" s="1977">
        <v>2740.8708716688602</v>
      </c>
      <c r="F2248" s="1978">
        <v>0.59955165494399398</v>
      </c>
      <c r="G2248" s="1979">
        <v>0.36110463499194501</v>
      </c>
    </row>
    <row r="2249" spans="1:7" x14ac:dyDescent="0.3">
      <c r="A2249" s="11" t="s">
        <v>1067</v>
      </c>
      <c r="B2249" s="11"/>
      <c r="C2249" s="1980">
        <v>8</v>
      </c>
      <c r="D2249" s="1980">
        <v>3091.6282047612699</v>
      </c>
      <c r="E2249" s="1981">
        <v>1953.4928116572801</v>
      </c>
      <c r="F2249" s="1982">
        <v>0.40731624040985798</v>
      </c>
      <c r="G2249" s="1983">
        <v>0.25736904203524402</v>
      </c>
    </row>
    <row r="2250" spans="1:7" x14ac:dyDescent="0.3">
      <c r="A2250" s="6" t="s">
        <v>1069</v>
      </c>
      <c r="B2250" s="6"/>
      <c r="C2250" s="1976">
        <v>5</v>
      </c>
      <c r="D2250" s="1976">
        <v>1134.4076318648499</v>
      </c>
      <c r="E2250" s="1977">
        <v>660.44979409793496</v>
      </c>
      <c r="F2250" s="1978">
        <v>0.149456086275781</v>
      </c>
      <c r="G2250" s="1979">
        <v>8.7013030284635598E-2</v>
      </c>
    </row>
    <row r="2251" spans="1:7" x14ac:dyDescent="0.3">
      <c r="A2251" s="11" t="s">
        <v>1071</v>
      </c>
      <c r="B2251" s="11"/>
      <c r="C2251" s="1980">
        <v>3</v>
      </c>
      <c r="D2251" s="1980">
        <v>304.78336763982901</v>
      </c>
      <c r="E2251" s="1981">
        <v>258.393128604232</v>
      </c>
      <c r="F2251" s="1982">
        <v>4.0154639311196401E-2</v>
      </c>
      <c r="G2251" s="1983">
        <v>3.4042813525554903E-2</v>
      </c>
    </row>
    <row r="2252" spans="1:7" x14ac:dyDescent="0.3">
      <c r="A2252" s="6" t="s">
        <v>1019</v>
      </c>
      <c r="B2252" s="6"/>
      <c r="C2252" s="1976">
        <v>93</v>
      </c>
      <c r="D2252" s="1976">
        <v>58538.954788752002</v>
      </c>
      <c r="E2252" s="1977">
        <v>0.34436598578877903</v>
      </c>
      <c r="F2252" s="1978">
        <v>100</v>
      </c>
      <c r="G2252" s="1979">
        <v>0</v>
      </c>
    </row>
    <row r="2253" spans="1:7" x14ac:dyDescent="0.3">
      <c r="A2253" s="11" t="s">
        <v>6354</v>
      </c>
      <c r="B2253" s="11" t="s">
        <v>6355</v>
      </c>
      <c r="C2253" s="1980">
        <v>2181</v>
      </c>
      <c r="D2253" s="1980">
        <v>759024.04521124798</v>
      </c>
      <c r="E2253" s="1981">
        <v>0.344365981916744</v>
      </c>
      <c r="F2253" s="1982">
        <v>92.8398233789014</v>
      </c>
      <c r="G2253" s="1983">
        <v>4.21210335162721E-5</v>
      </c>
    </row>
    <row r="2254" spans="1:7" x14ac:dyDescent="0.3">
      <c r="A2254" s="6" t="s">
        <v>6354</v>
      </c>
      <c r="B2254" s="6" t="s">
        <v>6356</v>
      </c>
      <c r="C2254" s="1976">
        <v>2274</v>
      </c>
      <c r="D2254" s="1976">
        <v>817563</v>
      </c>
      <c r="E2254" s="1977">
        <v>0</v>
      </c>
      <c r="F2254" s="1978">
        <v>100</v>
      </c>
      <c r="G2254" s="1979">
        <v>0</v>
      </c>
    </row>
    <row r="2255" spans="1:7" x14ac:dyDescent="0.3">
      <c r="A2255" s="3449" t="s">
        <v>211</v>
      </c>
      <c r="B2255" s="3450"/>
      <c r="C2255" s="3450"/>
      <c r="D2255" s="3450"/>
      <c r="E2255" s="3450"/>
      <c r="F2255" s="3450"/>
      <c r="G2255" s="3450"/>
    </row>
    <row r="2256" spans="1:7" x14ac:dyDescent="0.3">
      <c r="A2256" s="11" t="s">
        <v>1044</v>
      </c>
      <c r="B2256" s="11" t="s">
        <v>1045</v>
      </c>
      <c r="C2256" s="1988">
        <v>1255</v>
      </c>
      <c r="D2256" s="1988">
        <v>392684.66623454698</v>
      </c>
      <c r="E2256" s="1989">
        <v>9695.3565335684907</v>
      </c>
      <c r="F2256" s="1990">
        <v>87.026620047949706</v>
      </c>
      <c r="G2256" s="1991">
        <v>0.277613187310154</v>
      </c>
    </row>
    <row r="2257" spans="1:7" x14ac:dyDescent="0.3">
      <c r="A2257" s="6" t="s">
        <v>1019</v>
      </c>
      <c r="B2257" s="6"/>
      <c r="C2257" s="1984">
        <v>93</v>
      </c>
      <c r="D2257" s="1984">
        <v>58538.954788752002</v>
      </c>
      <c r="E2257" s="1985">
        <v>0.34436598578877903</v>
      </c>
      <c r="F2257" s="1986">
        <v>12.973379952050299</v>
      </c>
      <c r="G2257" s="1987">
        <v>0.27761318731015999</v>
      </c>
    </row>
    <row r="2258" spans="1:7" x14ac:dyDescent="0.3">
      <c r="A2258" s="11" t="s">
        <v>6354</v>
      </c>
      <c r="B2258" s="11" t="s">
        <v>6355</v>
      </c>
      <c r="C2258" s="1988">
        <v>821</v>
      </c>
      <c r="D2258" s="1988">
        <v>366339.378976701</v>
      </c>
      <c r="E2258" s="1989">
        <v>9695.35419257789</v>
      </c>
      <c r="F2258" s="1990">
        <v>44.808703301972002</v>
      </c>
      <c r="G2258" s="1991">
        <v>1.18588465874538</v>
      </c>
    </row>
    <row r="2259" spans="1:7" x14ac:dyDescent="0.3">
      <c r="A2259" s="6" t="s">
        <v>6354</v>
      </c>
      <c r="B2259" s="6" t="s">
        <v>6356</v>
      </c>
      <c r="C2259" s="1984">
        <v>2169</v>
      </c>
      <c r="D2259" s="1984">
        <v>817563.00000000105</v>
      </c>
      <c r="E2259" s="1985">
        <v>0</v>
      </c>
      <c r="F2259" s="1986">
        <v>100</v>
      </c>
      <c r="G2259" s="1987">
        <v>0</v>
      </c>
    </row>
    <row r="2260" spans="1:7" x14ac:dyDescent="0.3">
      <c r="A2260" s="3449" t="s">
        <v>961</v>
      </c>
      <c r="B2260" s="3450"/>
      <c r="C2260" s="3450"/>
      <c r="D2260" s="3450"/>
      <c r="E2260" s="3450"/>
      <c r="F2260" s="3450"/>
      <c r="G2260" s="3450"/>
    </row>
    <row r="2261" spans="1:7" x14ac:dyDescent="0.3">
      <c r="A2261" s="11" t="s">
        <v>1226</v>
      </c>
      <c r="B2261" s="11" t="s">
        <v>3124</v>
      </c>
      <c r="C2261" s="1996">
        <v>919</v>
      </c>
      <c r="D2261" s="1996">
        <v>363304.75689915603</v>
      </c>
      <c r="E2261" s="1997">
        <v>8568.3093615820508</v>
      </c>
      <c r="F2261" s="1998">
        <v>99.171636397369596</v>
      </c>
      <c r="G2261" s="1999">
        <v>0.427092254823982</v>
      </c>
    </row>
    <row r="2262" spans="1:7" x14ac:dyDescent="0.3">
      <c r="A2262" s="6" t="s">
        <v>1021</v>
      </c>
      <c r="B2262" s="6" t="s">
        <v>3078</v>
      </c>
      <c r="C2262" s="1992">
        <v>1</v>
      </c>
      <c r="D2262" s="1992">
        <v>871.273071866343</v>
      </c>
      <c r="E2262" s="1993">
        <v>930.35339627084795</v>
      </c>
      <c r="F2262" s="1994">
        <v>0.23783221839270299</v>
      </c>
      <c r="G2262" s="1995">
        <v>0.25239328760143498</v>
      </c>
    </row>
    <row r="2263" spans="1:7" x14ac:dyDescent="0.3">
      <c r="A2263" s="11" t="s">
        <v>3134</v>
      </c>
      <c r="B2263" s="11" t="s">
        <v>3135</v>
      </c>
      <c r="C2263" s="1996">
        <v>1</v>
      </c>
      <c r="D2263" s="1996">
        <v>741.30784027105096</v>
      </c>
      <c r="E2263" s="1997">
        <v>773.01124454552996</v>
      </c>
      <c r="F2263" s="1998">
        <v>0.20235548860233099</v>
      </c>
      <c r="G2263" s="1999">
        <v>0.21152895232535299</v>
      </c>
    </row>
    <row r="2264" spans="1:7" x14ac:dyDescent="0.3">
      <c r="A2264" s="6" t="s">
        <v>1081</v>
      </c>
      <c r="B2264" s="6" t="s">
        <v>3093</v>
      </c>
      <c r="C2264" s="1992">
        <v>1</v>
      </c>
      <c r="D2264" s="1992">
        <v>677.35116609708098</v>
      </c>
      <c r="E2264" s="1993">
        <v>718.18189515510096</v>
      </c>
      <c r="F2264" s="1994">
        <v>0.18489717594355601</v>
      </c>
      <c r="G2264" s="1995">
        <v>0.19502479519992799</v>
      </c>
    </row>
    <row r="2265" spans="1:7" x14ac:dyDescent="0.3">
      <c r="A2265" s="11" t="s">
        <v>1079</v>
      </c>
      <c r="B2265" s="11" t="s">
        <v>3092</v>
      </c>
      <c r="C2265" s="1996">
        <v>1</v>
      </c>
      <c r="D2265" s="1996">
        <v>340.73222496841498</v>
      </c>
      <c r="E2265" s="1997">
        <v>374.56940973146601</v>
      </c>
      <c r="F2265" s="1998">
        <v>9.3009991423849803E-2</v>
      </c>
      <c r="G2265" s="1999">
        <v>0.10167247604879</v>
      </c>
    </row>
    <row r="2266" spans="1:7" x14ac:dyDescent="0.3">
      <c r="A2266" s="6" t="s">
        <v>3132</v>
      </c>
      <c r="B2266" s="6" t="s">
        <v>3133</v>
      </c>
      <c r="C2266" s="1992">
        <v>1</v>
      </c>
      <c r="D2266" s="1992">
        <v>305.80555830107699</v>
      </c>
      <c r="E2266" s="1993">
        <v>326.514015012095</v>
      </c>
      <c r="F2266" s="1994">
        <v>8.3476026834812506E-2</v>
      </c>
      <c r="G2266" s="1995">
        <v>8.8430536813258701E-2</v>
      </c>
    </row>
    <row r="2267" spans="1:7" x14ac:dyDescent="0.3">
      <c r="A2267" s="11" t="s">
        <v>3103</v>
      </c>
      <c r="B2267" s="11" t="s">
        <v>3104</v>
      </c>
      <c r="C2267" s="1996">
        <v>1</v>
      </c>
      <c r="D2267" s="1996">
        <v>98.152216041420203</v>
      </c>
      <c r="E2267" s="1997">
        <v>108.862349588109</v>
      </c>
      <c r="F2267" s="1998">
        <v>2.6792701433187301E-2</v>
      </c>
      <c r="G2267" s="1999">
        <v>2.9837193918357999E-2</v>
      </c>
    </row>
    <row r="2268" spans="1:7" x14ac:dyDescent="0.3">
      <c r="A2268" s="6" t="s">
        <v>1044</v>
      </c>
      <c r="B2268" s="6" t="s">
        <v>1045</v>
      </c>
      <c r="C2268" s="1992">
        <v>1255</v>
      </c>
      <c r="D2268" s="1992">
        <v>392684.66623454698</v>
      </c>
      <c r="E2268" s="1993">
        <v>9695.3565335684907</v>
      </c>
      <c r="F2268" s="1994">
        <v>87.026620047949706</v>
      </c>
      <c r="G2268" s="1995">
        <v>0.277613187310154</v>
      </c>
    </row>
    <row r="2269" spans="1:7" x14ac:dyDescent="0.3">
      <c r="A2269" s="11" t="s">
        <v>1019</v>
      </c>
      <c r="B2269" s="11"/>
      <c r="C2269" s="1996">
        <v>93</v>
      </c>
      <c r="D2269" s="1996">
        <v>58538.954788752002</v>
      </c>
      <c r="E2269" s="1997">
        <v>0.34436598578877903</v>
      </c>
      <c r="F2269" s="1998">
        <v>12.973379952050299</v>
      </c>
      <c r="G2269" s="1999">
        <v>0.27761318731015999</v>
      </c>
    </row>
    <row r="2270" spans="1:7" x14ac:dyDescent="0.3">
      <c r="A2270" s="6" t="s">
        <v>6354</v>
      </c>
      <c r="B2270" s="6" t="s">
        <v>6355</v>
      </c>
      <c r="C2270" s="1992">
        <v>925</v>
      </c>
      <c r="D2270" s="1992">
        <v>366339.37897670199</v>
      </c>
      <c r="E2270" s="1993">
        <v>9695.35419257787</v>
      </c>
      <c r="F2270" s="1994">
        <v>44.808703301972002</v>
      </c>
      <c r="G2270" s="1995">
        <v>1.18588465874537</v>
      </c>
    </row>
    <row r="2271" spans="1:7" x14ac:dyDescent="0.3">
      <c r="A2271" s="11" t="s">
        <v>6354</v>
      </c>
      <c r="B2271" s="11" t="s">
        <v>6356</v>
      </c>
      <c r="C2271" s="1996">
        <v>2273</v>
      </c>
      <c r="D2271" s="1996">
        <v>817563.00000000105</v>
      </c>
      <c r="E2271" s="1997">
        <v>0</v>
      </c>
      <c r="F2271" s="1998">
        <v>100</v>
      </c>
      <c r="G2271" s="1999">
        <v>0</v>
      </c>
    </row>
    <row r="2272" spans="1:7" x14ac:dyDescent="0.3">
      <c r="A2272" s="3449" t="s">
        <v>46</v>
      </c>
      <c r="B2272" s="3450"/>
      <c r="C2272" s="3450"/>
      <c r="D2272" s="3450"/>
      <c r="E2272" s="3450"/>
      <c r="F2272" s="3450"/>
      <c r="G2272" s="3450"/>
    </row>
    <row r="2273" spans="1:7" x14ac:dyDescent="0.3">
      <c r="A2273" s="11" t="s">
        <v>1025</v>
      </c>
      <c r="B2273" s="11" t="s">
        <v>1055</v>
      </c>
      <c r="C2273" s="2004">
        <v>44</v>
      </c>
      <c r="D2273" s="2004">
        <v>13522.245231273901</v>
      </c>
      <c r="E2273" s="2005">
        <v>3070.1251399292701</v>
      </c>
      <c r="F2273" s="2006">
        <v>25.223457565487099</v>
      </c>
      <c r="G2273" s="2007">
        <v>5.6324784408244</v>
      </c>
    </row>
    <row r="2274" spans="1:7" x14ac:dyDescent="0.3">
      <c r="A2274" s="6" t="s">
        <v>1077</v>
      </c>
      <c r="B2274" s="6" t="s">
        <v>1078</v>
      </c>
      <c r="C2274" s="2000">
        <v>35</v>
      </c>
      <c r="D2274" s="2000">
        <v>7451.3552691203504</v>
      </c>
      <c r="E2274" s="2001">
        <v>3592.9986082289001</v>
      </c>
      <c r="F2274" s="2002">
        <v>13.8992408598938</v>
      </c>
      <c r="G2274" s="2003">
        <v>6.3391009147625796</v>
      </c>
    </row>
    <row r="2275" spans="1:7" x14ac:dyDescent="0.3">
      <c r="A2275" s="11" t="s">
        <v>1042</v>
      </c>
      <c r="B2275" s="11" t="s">
        <v>1060</v>
      </c>
      <c r="C2275" s="2004">
        <v>12</v>
      </c>
      <c r="D2275" s="2004">
        <v>5183.8969829343196</v>
      </c>
      <c r="E2275" s="2005">
        <v>2057.0152956967099</v>
      </c>
      <c r="F2275" s="2006">
        <v>9.6696815755486991</v>
      </c>
      <c r="G2275" s="2007">
        <v>4.0435241781968303</v>
      </c>
    </row>
    <row r="2276" spans="1:7" x14ac:dyDescent="0.3">
      <c r="A2276" s="6" t="s">
        <v>1073</v>
      </c>
      <c r="B2276" s="6" t="s">
        <v>1074</v>
      </c>
      <c r="C2276" s="2000">
        <v>15</v>
      </c>
      <c r="D2276" s="2000">
        <v>4688.7939801845196</v>
      </c>
      <c r="E2276" s="2001">
        <v>1831.04253480682</v>
      </c>
      <c r="F2276" s="2002">
        <v>8.7461508033421502</v>
      </c>
      <c r="G2276" s="2003">
        <v>3.5118178473072001</v>
      </c>
    </row>
    <row r="2277" spans="1:7" x14ac:dyDescent="0.3">
      <c r="A2277" s="11" t="s">
        <v>1075</v>
      </c>
      <c r="B2277" s="11" t="s">
        <v>1076</v>
      </c>
      <c r="C2277" s="2004">
        <v>20</v>
      </c>
      <c r="D2277" s="2004">
        <v>4665.4842639452499</v>
      </c>
      <c r="E2277" s="2005">
        <v>2162.68241632118</v>
      </c>
      <c r="F2277" s="2006">
        <v>8.7026704767862508</v>
      </c>
      <c r="G2277" s="2007">
        <v>4.1829623182825202</v>
      </c>
    </row>
    <row r="2278" spans="1:7" x14ac:dyDescent="0.3">
      <c r="A2278" s="6" t="s">
        <v>1052</v>
      </c>
      <c r="B2278" s="6" t="s">
        <v>1083</v>
      </c>
      <c r="C2278" s="2000">
        <v>21</v>
      </c>
      <c r="D2278" s="2000">
        <v>4454.3041468053198</v>
      </c>
      <c r="E2278" s="2001">
        <v>1185.5274404373399</v>
      </c>
      <c r="F2278" s="2002">
        <v>8.3087497460015207</v>
      </c>
      <c r="G2278" s="2003">
        <v>2.1783698060293899</v>
      </c>
    </row>
    <row r="2279" spans="1:7" x14ac:dyDescent="0.3">
      <c r="A2279" s="11" t="s">
        <v>1031</v>
      </c>
      <c r="B2279" s="11" t="s">
        <v>1058</v>
      </c>
      <c r="C2279" s="2004">
        <v>4</v>
      </c>
      <c r="D2279" s="2004">
        <v>3177.1031140517198</v>
      </c>
      <c r="E2279" s="2005">
        <v>2110.8965726967299</v>
      </c>
      <c r="F2279" s="2006">
        <v>5.9263476004059301</v>
      </c>
      <c r="G2279" s="2007">
        <v>3.71729158809518</v>
      </c>
    </row>
    <row r="2280" spans="1:7" x14ac:dyDescent="0.3">
      <c r="A2280" s="6" t="s">
        <v>1061</v>
      </c>
      <c r="B2280" s="6" t="s">
        <v>1062</v>
      </c>
      <c r="C2280" s="2000">
        <v>1</v>
      </c>
      <c r="D2280" s="2000">
        <v>1875.93399211726</v>
      </c>
      <c r="E2280" s="2001">
        <v>1936.84870626824</v>
      </c>
      <c r="F2280" s="2002">
        <v>3.4992370450722001</v>
      </c>
      <c r="G2280" s="2003">
        <v>3.5397727753389199</v>
      </c>
    </row>
    <row r="2281" spans="1:7" x14ac:dyDescent="0.3">
      <c r="A2281" s="11" t="s">
        <v>1029</v>
      </c>
      <c r="B2281" s="11" t="s">
        <v>1057</v>
      </c>
      <c r="C2281" s="2004">
        <v>6</v>
      </c>
      <c r="D2281" s="2004">
        <v>1461.9706045436899</v>
      </c>
      <c r="E2281" s="2005">
        <v>1332.09021848108</v>
      </c>
      <c r="F2281" s="2006">
        <v>2.7270584784552998</v>
      </c>
      <c r="G2281" s="2007">
        <v>2.5103347708698398</v>
      </c>
    </row>
    <row r="2282" spans="1:7" x14ac:dyDescent="0.3">
      <c r="A2282" s="6" t="s">
        <v>1071</v>
      </c>
      <c r="B2282" s="6" t="s">
        <v>1072</v>
      </c>
      <c r="C2282" s="2000">
        <v>5</v>
      </c>
      <c r="D2282" s="2000">
        <v>1394.7183935593</v>
      </c>
      <c r="E2282" s="2001">
        <v>547.99964471983003</v>
      </c>
      <c r="F2282" s="2002">
        <v>2.6016108726075098</v>
      </c>
      <c r="G2282" s="2003">
        <v>0.99734799874869295</v>
      </c>
    </row>
    <row r="2283" spans="1:7" x14ac:dyDescent="0.3">
      <c r="A2283" s="11" t="s">
        <v>1027</v>
      </c>
      <c r="B2283" s="11" t="s">
        <v>1056</v>
      </c>
      <c r="C2283" s="2004">
        <v>6</v>
      </c>
      <c r="D2283" s="2004">
        <v>1298.5787871191401</v>
      </c>
      <c r="E2283" s="2005">
        <v>745.59822714996596</v>
      </c>
      <c r="F2283" s="2006">
        <v>2.42227872458542</v>
      </c>
      <c r="G2283" s="2007">
        <v>1.40593724415331</v>
      </c>
    </row>
    <row r="2284" spans="1:7" x14ac:dyDescent="0.3">
      <c r="A2284" s="6" t="s">
        <v>1040</v>
      </c>
      <c r="B2284" s="6" t="s">
        <v>1059</v>
      </c>
      <c r="C2284" s="2000">
        <v>4</v>
      </c>
      <c r="D2284" s="2000">
        <v>1263.7510202235201</v>
      </c>
      <c r="E2284" s="2001">
        <v>1260.24900262957</v>
      </c>
      <c r="F2284" s="2002">
        <v>2.3573134258966499</v>
      </c>
      <c r="G2284" s="2003">
        <v>2.34608440453884</v>
      </c>
    </row>
    <row r="2285" spans="1:7" x14ac:dyDescent="0.3">
      <c r="A2285" s="11" t="s">
        <v>1065</v>
      </c>
      <c r="B2285" s="11" t="s">
        <v>1066</v>
      </c>
      <c r="C2285" s="2004">
        <v>4</v>
      </c>
      <c r="D2285" s="2004">
        <v>1211.9228837113401</v>
      </c>
      <c r="E2285" s="2005">
        <v>1008.54531220785</v>
      </c>
      <c r="F2285" s="2006">
        <v>2.2606368178589702</v>
      </c>
      <c r="G2285" s="2007">
        <v>1.92527574178412</v>
      </c>
    </row>
    <row r="2286" spans="1:7" x14ac:dyDescent="0.3">
      <c r="A2286" s="6" t="s">
        <v>1081</v>
      </c>
      <c r="B2286" s="6" t="s">
        <v>1082</v>
      </c>
      <c r="C2286" s="2000">
        <v>5</v>
      </c>
      <c r="D2286" s="2000">
        <v>934.675166168685</v>
      </c>
      <c r="E2286" s="2001">
        <v>443.60454805894699</v>
      </c>
      <c r="F2286" s="2002">
        <v>1.74347817157206</v>
      </c>
      <c r="G2286" s="2003">
        <v>0.79124575213577997</v>
      </c>
    </row>
    <row r="2287" spans="1:7" x14ac:dyDescent="0.3">
      <c r="A2287" s="11" t="s">
        <v>1079</v>
      </c>
      <c r="B2287" s="11" t="s">
        <v>1080</v>
      </c>
      <c r="C2287" s="2004">
        <v>9</v>
      </c>
      <c r="D2287" s="2004">
        <v>928.93057174136402</v>
      </c>
      <c r="E2287" s="2005">
        <v>545.28764007977202</v>
      </c>
      <c r="F2287" s="2006">
        <v>1.73276260390632</v>
      </c>
      <c r="G2287" s="2007">
        <v>1.0824110943756</v>
      </c>
    </row>
    <row r="2288" spans="1:7" x14ac:dyDescent="0.3">
      <c r="A2288" s="6" t="s">
        <v>1069</v>
      </c>
      <c r="B2288" s="6" t="s">
        <v>1070</v>
      </c>
      <c r="C2288" s="2000">
        <v>1</v>
      </c>
      <c r="D2288" s="2000">
        <v>96.135899085512705</v>
      </c>
      <c r="E2288" s="2001">
        <v>138.32966813000601</v>
      </c>
      <c r="F2288" s="2002">
        <v>0.17932523258010299</v>
      </c>
      <c r="G2288" s="2003">
        <v>0.26289067172047198</v>
      </c>
    </row>
    <row r="2289" spans="1:7" x14ac:dyDescent="0.3">
      <c r="A2289" s="11" t="s">
        <v>1019</v>
      </c>
      <c r="B2289" s="11" t="s">
        <v>1020</v>
      </c>
      <c r="C2289" s="2004">
        <v>2081</v>
      </c>
      <c r="D2289" s="2004">
        <v>762610.78557760199</v>
      </c>
      <c r="E2289" s="2005">
        <v>3977.1098188175501</v>
      </c>
      <c r="F2289" s="2006">
        <v>99.824280582063096</v>
      </c>
      <c r="G2289" s="2007">
        <v>0.19468021724331699</v>
      </c>
    </row>
    <row r="2290" spans="1:7" x14ac:dyDescent="0.3">
      <c r="A2290" s="6" t="s">
        <v>1017</v>
      </c>
      <c r="B2290" s="6" t="s">
        <v>1018</v>
      </c>
      <c r="C2290" s="2000">
        <v>1</v>
      </c>
      <c r="D2290" s="2000">
        <v>1342.4141158115301</v>
      </c>
      <c r="E2290" s="2001">
        <v>1489.1813491338</v>
      </c>
      <c r="F2290" s="2002">
        <v>0.175719417936892</v>
      </c>
      <c r="G2290" s="2003">
        <v>0.19468021724331599</v>
      </c>
    </row>
    <row r="2291" spans="1:7" x14ac:dyDescent="0.3">
      <c r="A2291" s="11" t="s">
        <v>6354</v>
      </c>
      <c r="B2291" s="11" t="s">
        <v>6355</v>
      </c>
      <c r="C2291" s="2004">
        <v>192</v>
      </c>
      <c r="D2291" s="2004">
        <v>53609.800306585203</v>
      </c>
      <c r="E2291" s="2005">
        <v>4536.9398835558604</v>
      </c>
      <c r="F2291" s="2006">
        <v>6.5572684070322698</v>
      </c>
      <c r="G2291" s="2007">
        <v>0.55493459018522395</v>
      </c>
    </row>
    <row r="2292" spans="1:7" x14ac:dyDescent="0.3">
      <c r="A2292" s="6" t="s">
        <v>6354</v>
      </c>
      <c r="B2292" s="6" t="s">
        <v>6356</v>
      </c>
      <c r="C2292" s="2000">
        <v>2274</v>
      </c>
      <c r="D2292" s="2000">
        <v>817562.99999999802</v>
      </c>
      <c r="E2292" s="2001">
        <v>0</v>
      </c>
      <c r="F2292" s="2002">
        <v>100</v>
      </c>
      <c r="G2292" s="2003">
        <v>0</v>
      </c>
    </row>
    <row r="2293" spans="1:7" x14ac:dyDescent="0.3">
      <c r="A2293" s="3449" t="s">
        <v>48</v>
      </c>
      <c r="B2293" s="3450"/>
      <c r="C2293" s="3450"/>
      <c r="D2293" s="3450"/>
      <c r="E2293" s="3450"/>
      <c r="F2293" s="3450"/>
      <c r="G2293" s="3450"/>
    </row>
    <row r="2294" spans="1:7" x14ac:dyDescent="0.3">
      <c r="A2294" s="11" t="s">
        <v>1021</v>
      </c>
      <c r="B2294" s="11" t="s">
        <v>1084</v>
      </c>
      <c r="C2294" s="2012">
        <v>29</v>
      </c>
      <c r="D2294" s="2012">
        <v>13755.4279319784</v>
      </c>
      <c r="E2294" s="2013">
        <v>7828.7572787674399</v>
      </c>
      <c r="F2294" s="2014">
        <v>32.265446377761201</v>
      </c>
      <c r="G2294" s="2015">
        <v>15.587757556718</v>
      </c>
    </row>
    <row r="2295" spans="1:7" x14ac:dyDescent="0.3">
      <c r="A2295" s="6" t="s">
        <v>1025</v>
      </c>
      <c r="B2295" s="6" t="s">
        <v>1055</v>
      </c>
      <c r="C2295" s="2008">
        <v>26</v>
      </c>
      <c r="D2295" s="2008">
        <v>9371.7948514902891</v>
      </c>
      <c r="E2295" s="2009">
        <v>2336.4431530407801</v>
      </c>
      <c r="F2295" s="2010">
        <v>21.9829688861339</v>
      </c>
      <c r="G2295" s="2011">
        <v>6.1418206837321501</v>
      </c>
    </row>
    <row r="2296" spans="1:7" x14ac:dyDescent="0.3">
      <c r="A2296" s="11" t="s">
        <v>1077</v>
      </c>
      <c r="B2296" s="11" t="s">
        <v>1078</v>
      </c>
      <c r="C2296" s="2012">
        <v>25</v>
      </c>
      <c r="D2296" s="2012">
        <v>5898.8382112837899</v>
      </c>
      <c r="E2296" s="2013">
        <v>2760.4868572482101</v>
      </c>
      <c r="F2296" s="2014">
        <v>13.836621364195601</v>
      </c>
      <c r="G2296" s="2015">
        <v>5.96229581870542</v>
      </c>
    </row>
    <row r="2297" spans="1:7" x14ac:dyDescent="0.3">
      <c r="A2297" s="6" t="s">
        <v>1031</v>
      </c>
      <c r="B2297" s="6" t="s">
        <v>1058</v>
      </c>
      <c r="C2297" s="2008">
        <v>2</v>
      </c>
      <c r="D2297" s="2008">
        <v>2856.0872257143801</v>
      </c>
      <c r="E2297" s="2009">
        <v>1962.3527222356299</v>
      </c>
      <c r="F2297" s="2010">
        <v>6.6993865757720403</v>
      </c>
      <c r="G2297" s="2011">
        <v>4.4523990404224199</v>
      </c>
    </row>
    <row r="2298" spans="1:7" x14ac:dyDescent="0.3">
      <c r="A2298" s="11" t="s">
        <v>1073</v>
      </c>
      <c r="B2298" s="11" t="s">
        <v>1074</v>
      </c>
      <c r="C2298" s="2012">
        <v>12</v>
      </c>
      <c r="D2298" s="2012">
        <v>2663.84003027781</v>
      </c>
      <c r="E2298" s="2013">
        <v>1733.9268030865701</v>
      </c>
      <c r="F2298" s="2014">
        <v>6.2484415665504001</v>
      </c>
      <c r="G2298" s="2015">
        <v>4.1733211099240499</v>
      </c>
    </row>
    <row r="2299" spans="1:7" x14ac:dyDescent="0.3">
      <c r="A2299" s="6" t="s">
        <v>1061</v>
      </c>
      <c r="B2299" s="6" t="s">
        <v>1062</v>
      </c>
      <c r="C2299" s="2008">
        <v>1</v>
      </c>
      <c r="D2299" s="2008">
        <v>1875.93399211726</v>
      </c>
      <c r="E2299" s="2009">
        <v>1936.84870626824</v>
      </c>
      <c r="F2299" s="2010">
        <v>4.4002882302312498</v>
      </c>
      <c r="G2299" s="2011">
        <v>4.5208625973775396</v>
      </c>
    </row>
    <row r="2300" spans="1:7" x14ac:dyDescent="0.3">
      <c r="A2300" s="11" t="s">
        <v>1042</v>
      </c>
      <c r="B2300" s="11" t="s">
        <v>1060</v>
      </c>
      <c r="C2300" s="2012">
        <v>2</v>
      </c>
      <c r="D2300" s="2012">
        <v>1581.2373985797101</v>
      </c>
      <c r="E2300" s="2013">
        <v>1233.74609400043</v>
      </c>
      <c r="F2300" s="2014">
        <v>3.7090325903838499</v>
      </c>
      <c r="G2300" s="2015">
        <v>3.0562818314684299</v>
      </c>
    </row>
    <row r="2301" spans="1:7" x14ac:dyDescent="0.3">
      <c r="A2301" s="6" t="s">
        <v>1027</v>
      </c>
      <c r="B2301" s="6" t="s">
        <v>1056</v>
      </c>
      <c r="C2301" s="2008">
        <v>6</v>
      </c>
      <c r="D2301" s="2008">
        <v>1298.5787871191401</v>
      </c>
      <c r="E2301" s="2009">
        <v>745.59822714996596</v>
      </c>
      <c r="F2301" s="2010">
        <v>3.0460138666921499</v>
      </c>
      <c r="G2301" s="2011">
        <v>1.7872584048426301</v>
      </c>
    </row>
    <row r="2302" spans="1:7" x14ac:dyDescent="0.3">
      <c r="A2302" s="11" t="s">
        <v>1040</v>
      </c>
      <c r="B2302" s="11" t="s">
        <v>1059</v>
      </c>
      <c r="C2302" s="2012">
        <v>4</v>
      </c>
      <c r="D2302" s="2012">
        <v>1263.7510202235201</v>
      </c>
      <c r="E2302" s="2013">
        <v>1260.24900262957</v>
      </c>
      <c r="F2302" s="2014">
        <v>2.96432004729337</v>
      </c>
      <c r="G2302" s="2015">
        <v>3.0365529028970601</v>
      </c>
    </row>
    <row r="2303" spans="1:7" x14ac:dyDescent="0.3">
      <c r="A2303" s="6" t="s">
        <v>1065</v>
      </c>
      <c r="B2303" s="6" t="s">
        <v>1066</v>
      </c>
      <c r="C2303" s="2008">
        <v>2</v>
      </c>
      <c r="D2303" s="2008">
        <v>1079.45134972035</v>
      </c>
      <c r="E2303" s="2009">
        <v>1015.64712981308</v>
      </c>
      <c r="F2303" s="2010">
        <v>2.5320171654444801</v>
      </c>
      <c r="G2303" s="2011">
        <v>2.39199091842843</v>
      </c>
    </row>
    <row r="2304" spans="1:7" x14ac:dyDescent="0.3">
      <c r="A2304" s="11" t="s">
        <v>1075</v>
      </c>
      <c r="B2304" s="11" t="s">
        <v>1076</v>
      </c>
      <c r="C2304" s="2012">
        <v>1</v>
      </c>
      <c r="D2304" s="2012">
        <v>704.69508952050001</v>
      </c>
      <c r="E2304" s="2013">
        <v>715.71721346498703</v>
      </c>
      <c r="F2304" s="2014">
        <v>1.65296941222279</v>
      </c>
      <c r="G2304" s="2015">
        <v>1.67673771054925</v>
      </c>
    </row>
    <row r="2305" spans="1:7" x14ac:dyDescent="0.3">
      <c r="A2305" s="6" t="s">
        <v>1071</v>
      </c>
      <c r="B2305" s="6" t="s">
        <v>1072</v>
      </c>
      <c r="C2305" s="2008">
        <v>1</v>
      </c>
      <c r="D2305" s="2008">
        <v>158.927003433469</v>
      </c>
      <c r="E2305" s="2009">
        <v>173.42672714793201</v>
      </c>
      <c r="F2305" s="2010">
        <v>0.37278743581213503</v>
      </c>
      <c r="G2305" s="2011">
        <v>0.417697970351463</v>
      </c>
    </row>
    <row r="2306" spans="1:7" x14ac:dyDescent="0.3">
      <c r="A2306" s="11" t="s">
        <v>1079</v>
      </c>
      <c r="B2306" s="11" t="s">
        <v>1080</v>
      </c>
      <c r="C2306" s="2012">
        <v>4</v>
      </c>
      <c r="D2306" s="2012">
        <v>65.719685356035498</v>
      </c>
      <c r="E2306" s="2013">
        <v>69.447626522855401</v>
      </c>
      <c r="F2306" s="2014">
        <v>0.154155508233143</v>
      </c>
      <c r="G2306" s="2015">
        <v>0.18286815200786299</v>
      </c>
    </row>
    <row r="2307" spans="1:7" x14ac:dyDescent="0.3">
      <c r="A2307" s="6" t="s">
        <v>1029</v>
      </c>
      <c r="B2307" s="6" t="s">
        <v>1057</v>
      </c>
      <c r="C2307" s="2008">
        <v>1</v>
      </c>
      <c r="D2307" s="2008">
        <v>57.788186846881601</v>
      </c>
      <c r="E2307" s="2009">
        <v>60.540734549348301</v>
      </c>
      <c r="F2307" s="2010">
        <v>0.13555097327371399</v>
      </c>
      <c r="G2307" s="2011">
        <v>0.14489141652812401</v>
      </c>
    </row>
    <row r="2308" spans="1:7" x14ac:dyDescent="0.3">
      <c r="A2308" s="11" t="s">
        <v>1019</v>
      </c>
      <c r="B2308" s="11" t="s">
        <v>1020</v>
      </c>
      <c r="C2308" s="2012">
        <v>2157</v>
      </c>
      <c r="D2308" s="2012">
        <v>774930.92923633696</v>
      </c>
      <c r="E2308" s="2013">
        <v>10751.013268843501</v>
      </c>
      <c r="F2308" s="2014">
        <v>100</v>
      </c>
      <c r="G2308" s="2015">
        <v>0</v>
      </c>
    </row>
    <row r="2309" spans="1:7" x14ac:dyDescent="0.3">
      <c r="A2309" s="6" t="s">
        <v>6354</v>
      </c>
      <c r="B2309" s="6" t="s">
        <v>6355</v>
      </c>
      <c r="C2309" s="2008">
        <v>116</v>
      </c>
      <c r="D2309" s="2008">
        <v>42632.070763661599</v>
      </c>
      <c r="E2309" s="2009">
        <v>10751.013268844001</v>
      </c>
      <c r="F2309" s="2010">
        <v>5.2145303497909898</v>
      </c>
      <c r="G2309" s="2011">
        <v>1.31500731672593</v>
      </c>
    </row>
    <row r="2310" spans="1:7" x14ac:dyDescent="0.3">
      <c r="A2310" s="11" t="s">
        <v>6354</v>
      </c>
      <c r="B2310" s="11" t="s">
        <v>6356</v>
      </c>
      <c r="C2310" s="2012">
        <v>2273</v>
      </c>
      <c r="D2310" s="2012">
        <v>817562.99999999802</v>
      </c>
      <c r="E2310" s="2013">
        <v>0</v>
      </c>
      <c r="F2310" s="2014">
        <v>100</v>
      </c>
      <c r="G2310" s="2015">
        <v>0</v>
      </c>
    </row>
    <row r="2311" spans="1:7" x14ac:dyDescent="0.3">
      <c r="A2311" s="3449" t="s">
        <v>156</v>
      </c>
      <c r="B2311" s="3450"/>
      <c r="C2311" s="3450"/>
      <c r="D2311" s="3450"/>
      <c r="E2311" s="3450"/>
      <c r="F2311" s="3450"/>
      <c r="G2311" s="3450"/>
    </row>
    <row r="2312" spans="1:7" x14ac:dyDescent="0.3">
      <c r="A2312" s="11" t="s">
        <v>1021</v>
      </c>
      <c r="B2312" s="11" t="s">
        <v>1106</v>
      </c>
      <c r="C2312" s="2020">
        <v>1821</v>
      </c>
      <c r="D2312" s="2020">
        <v>583627.98859204096</v>
      </c>
      <c r="E2312" s="2021">
        <v>9035.2563161306007</v>
      </c>
      <c r="F2312" s="2022">
        <v>71.386301556215301</v>
      </c>
      <c r="G2312" s="2023">
        <v>1.1051449632788299</v>
      </c>
    </row>
    <row r="2313" spans="1:7" x14ac:dyDescent="0.3">
      <c r="A2313" s="6" t="s">
        <v>1023</v>
      </c>
      <c r="B2313" s="6" t="s">
        <v>1107</v>
      </c>
      <c r="C2313" s="2016">
        <v>453</v>
      </c>
      <c r="D2313" s="2016">
        <v>233935.01140795901</v>
      </c>
      <c r="E2313" s="2017">
        <v>9035.2563161316102</v>
      </c>
      <c r="F2313" s="2018">
        <v>28.613698443784699</v>
      </c>
      <c r="G2313" s="2019">
        <v>1.1051449632788399</v>
      </c>
    </row>
    <row r="2314" spans="1:7" x14ac:dyDescent="0.3">
      <c r="A2314" s="11" t="s">
        <v>6354</v>
      </c>
      <c r="B2314" s="11" t="s">
        <v>6355</v>
      </c>
      <c r="C2314" s="2020">
        <v>2274</v>
      </c>
      <c r="D2314" s="2020">
        <v>817563</v>
      </c>
      <c r="E2314" s="2021">
        <v>8.3881373882223207E-9</v>
      </c>
      <c r="F2314" s="2022">
        <v>100</v>
      </c>
      <c r="G2314" s="2023">
        <v>0</v>
      </c>
    </row>
    <row r="2315" spans="1:7" x14ac:dyDescent="0.3">
      <c r="A2315" s="6" t="s">
        <v>6354</v>
      </c>
      <c r="B2315" s="6" t="s">
        <v>6356</v>
      </c>
      <c r="C2315" s="2016">
        <v>2274</v>
      </c>
      <c r="D2315" s="2016">
        <v>817563</v>
      </c>
      <c r="E2315" s="2017">
        <v>0</v>
      </c>
      <c r="F2315" s="2018">
        <v>100</v>
      </c>
      <c r="G2315" s="2019">
        <v>0</v>
      </c>
    </row>
    <row r="2316" spans="1:7" x14ac:dyDescent="0.3">
      <c r="A2316" s="3449" t="s">
        <v>685</v>
      </c>
      <c r="B2316" s="3450"/>
      <c r="C2316" s="3450"/>
      <c r="D2316" s="3450"/>
      <c r="E2316" s="3450"/>
      <c r="F2316" s="3450"/>
      <c r="G2316" s="3450"/>
    </row>
    <row r="2317" spans="1:7" x14ac:dyDescent="0.3">
      <c r="A2317" s="11" t="s">
        <v>1021</v>
      </c>
      <c r="B2317" s="11" t="s">
        <v>1106</v>
      </c>
      <c r="C2317" s="2028">
        <v>1347</v>
      </c>
      <c r="D2317" s="2028">
        <v>462753.00366184697</v>
      </c>
      <c r="E2317" s="2029">
        <v>8284.6179539904206</v>
      </c>
      <c r="F2317" s="2030">
        <v>56.601510056331598</v>
      </c>
      <c r="G2317" s="2031">
        <v>1.0133308324852</v>
      </c>
    </row>
    <row r="2318" spans="1:7" x14ac:dyDescent="0.3">
      <c r="A2318" s="6" t="s">
        <v>1023</v>
      </c>
      <c r="B2318" s="6" t="s">
        <v>1107</v>
      </c>
      <c r="C2318" s="2024">
        <v>927</v>
      </c>
      <c r="D2318" s="2024">
        <v>354809.99633815401</v>
      </c>
      <c r="E2318" s="2025">
        <v>8284.6179539914701</v>
      </c>
      <c r="F2318" s="2026">
        <v>43.398489943668402</v>
      </c>
      <c r="G2318" s="2027">
        <v>1.0133308324852099</v>
      </c>
    </row>
    <row r="2319" spans="1:7" x14ac:dyDescent="0.3">
      <c r="A2319" s="11" t="s">
        <v>6354</v>
      </c>
      <c r="B2319" s="11" t="s">
        <v>6355</v>
      </c>
      <c r="C2319" s="2028">
        <v>2274</v>
      </c>
      <c r="D2319" s="2028">
        <v>817563.00000000105</v>
      </c>
      <c r="E2319" s="2029">
        <v>7.7353954953416395E-9</v>
      </c>
      <c r="F2319" s="2030">
        <v>100</v>
      </c>
      <c r="G2319" s="2031">
        <v>1.02786679142825E-14</v>
      </c>
    </row>
    <row r="2320" spans="1:7" x14ac:dyDescent="0.3">
      <c r="A2320" s="6" t="s">
        <v>6354</v>
      </c>
      <c r="B2320" s="6" t="s">
        <v>6356</v>
      </c>
      <c r="C2320" s="2024">
        <v>2274</v>
      </c>
      <c r="D2320" s="2024">
        <v>817563.00000000105</v>
      </c>
      <c r="E2320" s="2025">
        <v>0</v>
      </c>
      <c r="F2320" s="2026">
        <v>100</v>
      </c>
      <c r="G2320" s="2027">
        <v>0</v>
      </c>
    </row>
    <row r="2321" spans="1:7" x14ac:dyDescent="0.3">
      <c r="A2321" s="3449" t="s">
        <v>514</v>
      </c>
      <c r="B2321" s="3450"/>
      <c r="C2321" s="3450"/>
      <c r="D2321" s="3450"/>
      <c r="E2321" s="3450"/>
      <c r="F2321" s="3450"/>
      <c r="G2321" s="3450"/>
    </row>
    <row r="2322" spans="1:7" x14ac:dyDescent="0.3">
      <c r="A2322" s="11" t="s">
        <v>1023</v>
      </c>
      <c r="B2322" s="11" t="s">
        <v>1107</v>
      </c>
      <c r="C2322" s="2036">
        <v>2128</v>
      </c>
      <c r="D2322" s="2036">
        <v>741854.12458008295</v>
      </c>
      <c r="E2322" s="2037">
        <v>6581.6026178674301</v>
      </c>
      <c r="F2322" s="2038">
        <v>90.739689122438804</v>
      </c>
      <c r="G2322" s="2039">
        <v>0.80502696646828897</v>
      </c>
    </row>
    <row r="2323" spans="1:7" x14ac:dyDescent="0.3">
      <c r="A2323" s="6" t="s">
        <v>1021</v>
      </c>
      <c r="B2323" s="6" t="s">
        <v>1106</v>
      </c>
      <c r="C2323" s="2032">
        <v>146</v>
      </c>
      <c r="D2323" s="2032">
        <v>75708.875419915596</v>
      </c>
      <c r="E2323" s="2033">
        <v>6581.60261786712</v>
      </c>
      <c r="F2323" s="2034">
        <v>9.26031087756121</v>
      </c>
      <c r="G2323" s="2035">
        <v>0.80502696646828997</v>
      </c>
    </row>
    <row r="2324" spans="1:7" x14ac:dyDescent="0.3">
      <c r="A2324" s="11" t="s">
        <v>6354</v>
      </c>
      <c r="B2324" s="11" t="s">
        <v>6355</v>
      </c>
      <c r="C2324" s="2036">
        <v>2274</v>
      </c>
      <c r="D2324" s="2036">
        <v>817562.99999999802</v>
      </c>
      <c r="E2324" s="2037">
        <v>2.4455056542433501E-8</v>
      </c>
      <c r="F2324" s="2038">
        <v>100</v>
      </c>
      <c r="G2324" s="2039">
        <v>1.02786679142825E-14</v>
      </c>
    </row>
    <row r="2325" spans="1:7" x14ac:dyDescent="0.3">
      <c r="A2325" s="6" t="s">
        <v>6354</v>
      </c>
      <c r="B2325" s="6" t="s">
        <v>6356</v>
      </c>
      <c r="C2325" s="2032">
        <v>2274</v>
      </c>
      <c r="D2325" s="2032">
        <v>817562.99999999802</v>
      </c>
      <c r="E2325" s="2033">
        <v>0</v>
      </c>
      <c r="F2325" s="2034">
        <v>100</v>
      </c>
      <c r="G2325" s="2035">
        <v>0</v>
      </c>
    </row>
    <row r="2326" spans="1:7" x14ac:dyDescent="0.3">
      <c r="A2326" s="3449" t="s">
        <v>154</v>
      </c>
      <c r="B2326" s="3450"/>
      <c r="C2326" s="3450"/>
      <c r="D2326" s="3450"/>
      <c r="E2326" s="3450"/>
      <c r="F2326" s="3450"/>
      <c r="G2326" s="3450"/>
    </row>
    <row r="2327" spans="1:7" x14ac:dyDescent="0.3">
      <c r="A2327" s="11" t="s">
        <v>1044</v>
      </c>
      <c r="B2327" s="11" t="s">
        <v>1045</v>
      </c>
      <c r="C2327" s="2044">
        <v>1255</v>
      </c>
      <c r="D2327" s="2044">
        <v>392684.66623454698</v>
      </c>
      <c r="E2327" s="2045">
        <v>9695.3565335684907</v>
      </c>
      <c r="F2327" s="2046">
        <v>87.026620047949706</v>
      </c>
      <c r="G2327" s="2047">
        <v>0.277613187310154</v>
      </c>
    </row>
    <row r="2328" spans="1:7" x14ac:dyDescent="0.3">
      <c r="A2328" s="6" t="s">
        <v>1019</v>
      </c>
      <c r="B2328" s="6" t="s">
        <v>1020</v>
      </c>
      <c r="C2328" s="2040">
        <v>93</v>
      </c>
      <c r="D2328" s="2040">
        <v>58538.954788752002</v>
      </c>
      <c r="E2328" s="2041">
        <v>0.34436598578877903</v>
      </c>
      <c r="F2328" s="2042">
        <v>12.973379952050299</v>
      </c>
      <c r="G2328" s="2043">
        <v>0.27761318731015999</v>
      </c>
    </row>
    <row r="2329" spans="1:7" x14ac:dyDescent="0.3">
      <c r="A2329" s="11" t="s">
        <v>6354</v>
      </c>
      <c r="B2329" s="11" t="s">
        <v>6355</v>
      </c>
      <c r="C2329" s="2044">
        <v>813</v>
      </c>
      <c r="D2329" s="2044">
        <v>366339.378976701</v>
      </c>
      <c r="E2329" s="2045">
        <v>9695.35419257789</v>
      </c>
      <c r="F2329" s="2046">
        <v>44.808703301972002</v>
      </c>
      <c r="G2329" s="2047">
        <v>1.18588465874538</v>
      </c>
    </row>
    <row r="2330" spans="1:7" x14ac:dyDescent="0.3">
      <c r="A2330" s="6" t="s">
        <v>6354</v>
      </c>
      <c r="B2330" s="6" t="s">
        <v>6356</v>
      </c>
      <c r="C2330" s="2040">
        <v>2161</v>
      </c>
      <c r="D2330" s="2040">
        <v>817563.00000000105</v>
      </c>
      <c r="E2330" s="2041">
        <v>0</v>
      </c>
      <c r="F2330" s="2042">
        <v>100</v>
      </c>
      <c r="G2330" s="2043">
        <v>0</v>
      </c>
    </row>
    <row r="2331" spans="1:7" x14ac:dyDescent="0.3">
      <c r="A2331" s="3449" t="s">
        <v>152</v>
      </c>
      <c r="B2331" s="3450"/>
      <c r="C2331" s="3450"/>
      <c r="D2331" s="3450"/>
      <c r="E2331" s="3450"/>
      <c r="F2331" s="3450"/>
      <c r="G2331" s="3450"/>
    </row>
    <row r="2332" spans="1:7" x14ac:dyDescent="0.3">
      <c r="A2332" s="11" t="s">
        <v>1044</v>
      </c>
      <c r="B2332" s="11" t="s">
        <v>1045</v>
      </c>
      <c r="C2332" s="2052">
        <v>1902</v>
      </c>
      <c r="D2332" s="2052">
        <v>615501.64371501899</v>
      </c>
      <c r="E2332" s="2053">
        <v>3242.70162820423</v>
      </c>
      <c r="F2332" s="2054">
        <v>91.315218264493794</v>
      </c>
      <c r="G2332" s="2055">
        <v>4.1935280011517799E-2</v>
      </c>
    </row>
    <row r="2333" spans="1:7" x14ac:dyDescent="0.3">
      <c r="A2333" s="6" t="s">
        <v>1019</v>
      </c>
      <c r="B2333" s="6" t="s">
        <v>1020</v>
      </c>
      <c r="C2333" s="2048">
        <v>93</v>
      </c>
      <c r="D2333" s="2048">
        <v>58538.954788752002</v>
      </c>
      <c r="E2333" s="2049">
        <v>0.34436598578877903</v>
      </c>
      <c r="F2333" s="2050">
        <v>8.6847817355061796</v>
      </c>
      <c r="G2333" s="2051">
        <v>4.1935280011526098E-2</v>
      </c>
    </row>
    <row r="2334" spans="1:7" x14ac:dyDescent="0.3">
      <c r="A2334" s="11" t="s">
        <v>6354</v>
      </c>
      <c r="B2334" s="11" t="s">
        <v>6355</v>
      </c>
      <c r="C2334" s="2052">
        <v>232</v>
      </c>
      <c r="D2334" s="2052">
        <v>143522.40149622899</v>
      </c>
      <c r="E2334" s="2053">
        <v>3242.6963751755502</v>
      </c>
      <c r="F2334" s="2054">
        <v>17.554904208755701</v>
      </c>
      <c r="G2334" s="2055">
        <v>0.39662954110880699</v>
      </c>
    </row>
    <row r="2335" spans="1:7" x14ac:dyDescent="0.3">
      <c r="A2335" s="6" t="s">
        <v>6354</v>
      </c>
      <c r="B2335" s="6" t="s">
        <v>6356</v>
      </c>
      <c r="C2335" s="2048">
        <v>2227</v>
      </c>
      <c r="D2335" s="2048">
        <v>817563</v>
      </c>
      <c r="E2335" s="2049">
        <v>0</v>
      </c>
      <c r="F2335" s="2050">
        <v>100</v>
      </c>
      <c r="G2335" s="2051">
        <v>0</v>
      </c>
    </row>
    <row r="2336" spans="1:7" x14ac:dyDescent="0.3">
      <c r="A2336" s="3449" t="s">
        <v>617</v>
      </c>
      <c r="B2336" s="3450"/>
      <c r="C2336" s="3450"/>
      <c r="D2336" s="3450"/>
      <c r="E2336" s="3450"/>
      <c r="F2336" s="3450"/>
      <c r="G2336" s="3450"/>
    </row>
    <row r="2337" spans="1:7" x14ac:dyDescent="0.3">
      <c r="A2337" s="11" t="s">
        <v>1025</v>
      </c>
      <c r="B2337" s="11" t="s">
        <v>6076</v>
      </c>
      <c r="C2337" s="2060">
        <v>1565</v>
      </c>
      <c r="D2337" s="2060">
        <v>611687.61463412805</v>
      </c>
      <c r="E2337" s="2061">
        <v>12109.875562524099</v>
      </c>
      <c r="F2337" s="2062">
        <v>74.818407221721998</v>
      </c>
      <c r="G2337" s="2063">
        <v>1.4812161952685801</v>
      </c>
    </row>
    <row r="2338" spans="1:7" x14ac:dyDescent="0.3">
      <c r="A2338" s="6" t="s">
        <v>1023</v>
      </c>
      <c r="B2338" s="6" t="s">
        <v>6075</v>
      </c>
      <c r="C2338" s="2056">
        <v>709</v>
      </c>
      <c r="D2338" s="2056">
        <v>205875.38536587299</v>
      </c>
      <c r="E2338" s="2057">
        <v>12109.875562523601</v>
      </c>
      <c r="F2338" s="2058">
        <v>25.181592778277999</v>
      </c>
      <c r="G2338" s="2059">
        <v>1.4812161952685901</v>
      </c>
    </row>
    <row r="2339" spans="1:7" x14ac:dyDescent="0.3">
      <c r="A2339" s="11" t="s">
        <v>6354</v>
      </c>
      <c r="B2339" s="11" t="s">
        <v>6355</v>
      </c>
      <c r="C2339" s="2060">
        <v>2274</v>
      </c>
      <c r="D2339" s="2060">
        <v>817563.00000000105</v>
      </c>
      <c r="E2339" s="2061">
        <v>5.7021442214939698E-9</v>
      </c>
      <c r="F2339" s="2062">
        <v>100</v>
      </c>
      <c r="G2339" s="2063">
        <v>1.78031750616652E-14</v>
      </c>
    </row>
    <row r="2340" spans="1:7" x14ac:dyDescent="0.3">
      <c r="A2340" s="6" t="s">
        <v>6354</v>
      </c>
      <c r="B2340" s="6" t="s">
        <v>6356</v>
      </c>
      <c r="C2340" s="2056">
        <v>2274</v>
      </c>
      <c r="D2340" s="2056">
        <v>817563.00000000105</v>
      </c>
      <c r="E2340" s="2057">
        <v>0</v>
      </c>
      <c r="F2340" s="2058">
        <v>100</v>
      </c>
      <c r="G2340" s="2059">
        <v>0</v>
      </c>
    </row>
    <row r="2341" spans="1:7" x14ac:dyDescent="0.3">
      <c r="A2341" s="3449" t="s">
        <v>592</v>
      </c>
      <c r="B2341" s="3450"/>
      <c r="C2341" s="3450"/>
      <c r="D2341" s="3450"/>
      <c r="E2341" s="3450"/>
      <c r="F2341" s="3450"/>
      <c r="G2341" s="3450"/>
    </row>
    <row r="2342" spans="1:7" x14ac:dyDescent="0.3">
      <c r="A2342" s="11" t="s">
        <v>1067</v>
      </c>
      <c r="B2342" s="11"/>
      <c r="C2342" s="2068">
        <v>30</v>
      </c>
      <c r="D2342" s="2068">
        <v>19347.736425391398</v>
      </c>
      <c r="E2342" s="2069">
        <v>3549.1791025389498</v>
      </c>
      <c r="F2342" s="2070">
        <v>2.3665132137084699</v>
      </c>
      <c r="G2342" s="2071">
        <v>0.43411689405451998</v>
      </c>
    </row>
    <row r="2343" spans="1:7" x14ac:dyDescent="0.3">
      <c r="A2343" s="6" t="s">
        <v>3114</v>
      </c>
      <c r="B2343" s="6"/>
      <c r="C2343" s="2064">
        <v>28</v>
      </c>
      <c r="D2343" s="2064">
        <v>17781.913930094299</v>
      </c>
      <c r="E2343" s="2065">
        <v>3145.0025486260001</v>
      </c>
      <c r="F2343" s="2066">
        <v>2.1749900533774502</v>
      </c>
      <c r="G2343" s="2067">
        <v>0.38468014680532298</v>
      </c>
    </row>
    <row r="2344" spans="1:7" x14ac:dyDescent="0.3">
      <c r="A2344" s="11" t="s">
        <v>3105</v>
      </c>
      <c r="B2344" s="11"/>
      <c r="C2344" s="2068">
        <v>27</v>
      </c>
      <c r="D2344" s="2068">
        <v>17426.789603888301</v>
      </c>
      <c r="E2344" s="2069">
        <v>3531.4853601742898</v>
      </c>
      <c r="F2344" s="2070">
        <v>2.1315531162599402</v>
      </c>
      <c r="G2344" s="2071">
        <v>0.43195268868261999</v>
      </c>
    </row>
    <row r="2345" spans="1:7" x14ac:dyDescent="0.3">
      <c r="A2345" s="6" t="s">
        <v>6365</v>
      </c>
      <c r="B2345" s="6"/>
      <c r="C2345" s="2064">
        <v>24</v>
      </c>
      <c r="D2345" s="2064">
        <v>16598.158291552802</v>
      </c>
      <c r="E2345" s="2065">
        <v>6892.6039171490202</v>
      </c>
      <c r="F2345" s="2066">
        <v>2.03019929859262</v>
      </c>
      <c r="G2345" s="2067">
        <v>0.84306700733142503</v>
      </c>
    </row>
    <row r="2346" spans="1:7" x14ac:dyDescent="0.3">
      <c r="A2346" s="11" t="s">
        <v>1230</v>
      </c>
      <c r="B2346" s="11"/>
      <c r="C2346" s="2068">
        <v>47</v>
      </c>
      <c r="D2346" s="2068">
        <v>15425.8336590161</v>
      </c>
      <c r="E2346" s="2069">
        <v>2312.9847294003998</v>
      </c>
      <c r="F2346" s="2070">
        <v>1.88680672425441</v>
      </c>
      <c r="G2346" s="2071">
        <v>0.282912109452164</v>
      </c>
    </row>
    <row r="2347" spans="1:7" x14ac:dyDescent="0.3">
      <c r="A2347" s="6" t="s">
        <v>1118</v>
      </c>
      <c r="B2347" s="6"/>
      <c r="C2347" s="2064">
        <v>18</v>
      </c>
      <c r="D2347" s="2064">
        <v>15090.6875074778</v>
      </c>
      <c r="E2347" s="2065">
        <v>2780.10485131632</v>
      </c>
      <c r="F2347" s="2066">
        <v>1.84581341223585</v>
      </c>
      <c r="G2347" s="2067">
        <v>0.34004778241142603</v>
      </c>
    </row>
    <row r="2348" spans="1:7" x14ac:dyDescent="0.3">
      <c r="A2348" s="11" t="s">
        <v>6358</v>
      </c>
      <c r="B2348" s="11"/>
      <c r="C2348" s="2068">
        <v>24</v>
      </c>
      <c r="D2348" s="2068">
        <v>15027.7215767207</v>
      </c>
      <c r="E2348" s="2069">
        <v>4081.1754154364498</v>
      </c>
      <c r="F2348" s="2070">
        <v>1.83811175123149</v>
      </c>
      <c r="G2348" s="2071">
        <v>0.49918788098733002</v>
      </c>
    </row>
    <row r="2349" spans="1:7" x14ac:dyDescent="0.3">
      <c r="A2349" s="6" t="s">
        <v>3130</v>
      </c>
      <c r="B2349" s="6"/>
      <c r="C2349" s="2064">
        <v>42</v>
      </c>
      <c r="D2349" s="2064">
        <v>14984.723190546199</v>
      </c>
      <c r="E2349" s="2065">
        <v>4102.5012473248498</v>
      </c>
      <c r="F2349" s="2066">
        <v>1.83285241511005</v>
      </c>
      <c r="G2349" s="2067">
        <v>0.50179634441930998</v>
      </c>
    </row>
    <row r="2350" spans="1:7" x14ac:dyDescent="0.3">
      <c r="A2350" s="11" t="s">
        <v>1126</v>
      </c>
      <c r="B2350" s="11"/>
      <c r="C2350" s="2068">
        <v>26</v>
      </c>
      <c r="D2350" s="2068">
        <v>14980.4192396579</v>
      </c>
      <c r="E2350" s="2069">
        <v>2879.6468238010798</v>
      </c>
      <c r="F2350" s="2070">
        <v>1.83232597850659</v>
      </c>
      <c r="G2350" s="2071">
        <v>0.35222323219141299</v>
      </c>
    </row>
    <row r="2351" spans="1:7" x14ac:dyDescent="0.3">
      <c r="A2351" s="6" t="s">
        <v>6362</v>
      </c>
      <c r="B2351" s="6"/>
      <c r="C2351" s="2064">
        <v>18</v>
      </c>
      <c r="D2351" s="2064">
        <v>14763.113846254601</v>
      </c>
      <c r="E2351" s="2065">
        <v>3100.7499769648098</v>
      </c>
      <c r="F2351" s="2066">
        <v>1.80574632734782</v>
      </c>
      <c r="G2351" s="2067">
        <v>0.37926740532103598</v>
      </c>
    </row>
    <row r="2352" spans="1:7" x14ac:dyDescent="0.3">
      <c r="A2352" s="11" t="s">
        <v>3099</v>
      </c>
      <c r="B2352" s="11"/>
      <c r="C2352" s="2068">
        <v>23</v>
      </c>
      <c r="D2352" s="2068">
        <v>14649.975173786701</v>
      </c>
      <c r="E2352" s="2069">
        <v>2852.1261734863201</v>
      </c>
      <c r="F2352" s="2070">
        <v>1.7919078008406299</v>
      </c>
      <c r="G2352" s="2071">
        <v>0.34885705119804999</v>
      </c>
    </row>
    <row r="2353" spans="1:7" x14ac:dyDescent="0.3">
      <c r="A2353" s="6" t="s">
        <v>1224</v>
      </c>
      <c r="B2353" s="6"/>
      <c r="C2353" s="2064">
        <v>32</v>
      </c>
      <c r="D2353" s="2064">
        <v>14302.0317330575</v>
      </c>
      <c r="E2353" s="2065">
        <v>2447.4643250874301</v>
      </c>
      <c r="F2353" s="2066">
        <v>1.74934919181244</v>
      </c>
      <c r="G2353" s="2067">
        <v>0.299360945283414</v>
      </c>
    </row>
    <row r="2354" spans="1:7" x14ac:dyDescent="0.3">
      <c r="A2354" s="11" t="s">
        <v>6359</v>
      </c>
      <c r="B2354" s="11"/>
      <c r="C2354" s="2068">
        <v>21</v>
      </c>
      <c r="D2354" s="2068">
        <v>13727.9304902154</v>
      </c>
      <c r="E2354" s="2069">
        <v>3143.6444362571201</v>
      </c>
      <c r="F2354" s="2070">
        <v>1.6791281516183401</v>
      </c>
      <c r="G2354" s="2071">
        <v>0.38451402965363202</v>
      </c>
    </row>
    <row r="2355" spans="1:7" x14ac:dyDescent="0.3">
      <c r="A2355" s="6" t="s">
        <v>1148</v>
      </c>
      <c r="B2355" s="6"/>
      <c r="C2355" s="2064">
        <v>48</v>
      </c>
      <c r="D2355" s="2064">
        <v>12987.473477752899</v>
      </c>
      <c r="E2355" s="2065">
        <v>1975.38081600583</v>
      </c>
      <c r="F2355" s="2066">
        <v>1.5885593498914401</v>
      </c>
      <c r="G2355" s="2067">
        <v>0.24161817694854401</v>
      </c>
    </row>
    <row r="2356" spans="1:7" x14ac:dyDescent="0.3">
      <c r="A2356" s="11" t="s">
        <v>3101</v>
      </c>
      <c r="B2356" s="11"/>
      <c r="C2356" s="2068">
        <v>17</v>
      </c>
      <c r="D2356" s="2068">
        <v>12609.546012409</v>
      </c>
      <c r="E2356" s="2069">
        <v>3540.5460159364602</v>
      </c>
      <c r="F2356" s="2070">
        <v>1.54233325290027</v>
      </c>
      <c r="G2356" s="2071">
        <v>0.43306094037235898</v>
      </c>
    </row>
    <row r="2357" spans="1:7" x14ac:dyDescent="0.3">
      <c r="A2357" s="6" t="s">
        <v>1077</v>
      </c>
      <c r="B2357" s="6"/>
      <c r="C2357" s="2064">
        <v>29</v>
      </c>
      <c r="D2357" s="2064">
        <v>12595.496181414899</v>
      </c>
      <c r="E2357" s="2065">
        <v>1833.50739854163</v>
      </c>
      <c r="F2357" s="2066">
        <v>1.5406147515744799</v>
      </c>
      <c r="G2357" s="2067">
        <v>0.224264967781276</v>
      </c>
    </row>
    <row r="2358" spans="1:7" x14ac:dyDescent="0.3">
      <c r="A2358" s="11" t="s">
        <v>1142</v>
      </c>
      <c r="B2358" s="11"/>
      <c r="C2358" s="2068">
        <v>33</v>
      </c>
      <c r="D2358" s="2068">
        <v>12566.2771884456</v>
      </c>
      <c r="E2358" s="2069">
        <v>2752.0810035509899</v>
      </c>
      <c r="F2358" s="2070">
        <v>1.5370408382528999</v>
      </c>
      <c r="G2358" s="2071">
        <v>0.336620052956285</v>
      </c>
    </row>
    <row r="2359" spans="1:7" x14ac:dyDescent="0.3">
      <c r="A2359" s="6" t="s">
        <v>3132</v>
      </c>
      <c r="B2359" s="6"/>
      <c r="C2359" s="2064">
        <v>34</v>
      </c>
      <c r="D2359" s="2064">
        <v>12409.000628150299</v>
      </c>
      <c r="E2359" s="2065">
        <v>2541.6646044091999</v>
      </c>
      <c r="F2359" s="2066">
        <v>1.5178035977839299</v>
      </c>
      <c r="G2359" s="2067">
        <v>0.310883027290766</v>
      </c>
    </row>
    <row r="2360" spans="1:7" x14ac:dyDescent="0.3">
      <c r="A2360" s="11" t="s">
        <v>1226</v>
      </c>
      <c r="B2360" s="11"/>
      <c r="C2360" s="2068">
        <v>23</v>
      </c>
      <c r="D2360" s="2068">
        <v>12377.567195031101</v>
      </c>
      <c r="E2360" s="2069">
        <v>2668.2716044660401</v>
      </c>
      <c r="F2360" s="2070">
        <v>1.5139588258068399</v>
      </c>
      <c r="G2360" s="2071">
        <v>0.32636892869002698</v>
      </c>
    </row>
    <row r="2361" spans="1:7" x14ac:dyDescent="0.3">
      <c r="A2361" s="6" t="s">
        <v>1075</v>
      </c>
      <c r="B2361" s="6"/>
      <c r="C2361" s="2064">
        <v>31</v>
      </c>
      <c r="D2361" s="2064">
        <v>12375.7926635899</v>
      </c>
      <c r="E2361" s="2065">
        <v>2551.5472204964799</v>
      </c>
      <c r="F2361" s="2066">
        <v>1.5137417744675199</v>
      </c>
      <c r="G2361" s="2067">
        <v>0.31209181683814902</v>
      </c>
    </row>
    <row r="2362" spans="1:7" x14ac:dyDescent="0.3">
      <c r="A2362" s="11" t="s">
        <v>1079</v>
      </c>
      <c r="B2362" s="11"/>
      <c r="C2362" s="2068">
        <v>19</v>
      </c>
      <c r="D2362" s="2068">
        <v>12351.840398492301</v>
      </c>
      <c r="E2362" s="2069">
        <v>3658.1476952673102</v>
      </c>
      <c r="F2362" s="2070">
        <v>1.510812059559</v>
      </c>
      <c r="G2362" s="2071">
        <v>0.44744535837205301</v>
      </c>
    </row>
    <row r="2363" spans="1:7" x14ac:dyDescent="0.3">
      <c r="A2363" s="6" t="s">
        <v>1144</v>
      </c>
      <c r="B2363" s="6"/>
      <c r="C2363" s="2064">
        <v>33</v>
      </c>
      <c r="D2363" s="2064">
        <v>12330.7423867826</v>
      </c>
      <c r="E2363" s="2065">
        <v>4340.8620672359602</v>
      </c>
      <c r="F2363" s="2066">
        <v>1.5082314618913299</v>
      </c>
      <c r="G2363" s="2067">
        <v>0.53095138444816703</v>
      </c>
    </row>
    <row r="2364" spans="1:7" x14ac:dyDescent="0.3">
      <c r="A2364" s="11" t="s">
        <v>1146</v>
      </c>
      <c r="B2364" s="11"/>
      <c r="C2364" s="2068">
        <v>40</v>
      </c>
      <c r="D2364" s="2068">
        <v>12268.3517878892</v>
      </c>
      <c r="E2364" s="2069">
        <v>3104.7477690735</v>
      </c>
      <c r="F2364" s="2070">
        <v>1.50060017245022</v>
      </c>
      <c r="G2364" s="2071">
        <v>0.37975639419512702</v>
      </c>
    </row>
    <row r="2365" spans="1:7" x14ac:dyDescent="0.3">
      <c r="A2365" s="6" t="s">
        <v>6360</v>
      </c>
      <c r="B2365" s="6"/>
      <c r="C2365" s="2064">
        <v>22</v>
      </c>
      <c r="D2365" s="2064">
        <v>12190.141930919301</v>
      </c>
      <c r="E2365" s="2065">
        <v>4637.5752683585997</v>
      </c>
      <c r="F2365" s="2066">
        <v>1.4910339546822999</v>
      </c>
      <c r="G2365" s="2067">
        <v>0.56724378040085</v>
      </c>
    </row>
    <row r="2366" spans="1:7" x14ac:dyDescent="0.3">
      <c r="A2366" s="11" t="s">
        <v>1116</v>
      </c>
      <c r="B2366" s="11"/>
      <c r="C2366" s="2068">
        <v>14</v>
      </c>
      <c r="D2366" s="2068">
        <v>11924.549258999101</v>
      </c>
      <c r="E2366" s="2069">
        <v>3370.4945994539398</v>
      </c>
      <c r="F2366" s="2070">
        <v>1.4585480579477199</v>
      </c>
      <c r="G2366" s="2071">
        <v>0.41226114678060799</v>
      </c>
    </row>
    <row r="2367" spans="1:7" x14ac:dyDescent="0.3">
      <c r="A2367" s="6" t="s">
        <v>1063</v>
      </c>
      <c r="B2367" s="6"/>
      <c r="C2367" s="2064">
        <v>28</v>
      </c>
      <c r="D2367" s="2064">
        <v>11602.7214777519</v>
      </c>
      <c r="E2367" s="2065">
        <v>2656.34277245781</v>
      </c>
      <c r="F2367" s="2066">
        <v>1.4191837788343999</v>
      </c>
      <c r="G2367" s="2067">
        <v>0.32490985678875001</v>
      </c>
    </row>
    <row r="2368" spans="1:7" x14ac:dyDescent="0.3">
      <c r="A2368" s="11" t="s">
        <v>1073</v>
      </c>
      <c r="B2368" s="11"/>
      <c r="C2368" s="2068">
        <v>23</v>
      </c>
      <c r="D2368" s="2068">
        <v>11448.8519648446</v>
      </c>
      <c r="E2368" s="2069">
        <v>2313.59028460841</v>
      </c>
      <c r="F2368" s="2070">
        <v>1.4003632704567801</v>
      </c>
      <c r="G2368" s="2071">
        <v>0.282986177775708</v>
      </c>
    </row>
    <row r="2369" spans="1:7" x14ac:dyDescent="0.3">
      <c r="A2369" s="6" t="s">
        <v>3261</v>
      </c>
      <c r="B2369" s="6"/>
      <c r="C2369" s="2064">
        <v>53</v>
      </c>
      <c r="D2369" s="2064">
        <v>11377.7828223383</v>
      </c>
      <c r="E2369" s="2065">
        <v>2453.2466140844399</v>
      </c>
      <c r="F2369" s="2066">
        <v>1.39167046727143</v>
      </c>
      <c r="G2369" s="2067">
        <v>0.30006820441781801</v>
      </c>
    </row>
    <row r="2370" spans="1:7" x14ac:dyDescent="0.3">
      <c r="A2370" s="11" t="s">
        <v>3116</v>
      </c>
      <c r="B2370" s="11"/>
      <c r="C2370" s="2068">
        <v>24</v>
      </c>
      <c r="D2370" s="2068">
        <v>11341.0719528589</v>
      </c>
      <c r="E2370" s="2069">
        <v>3075.60085682522</v>
      </c>
      <c r="F2370" s="2070">
        <v>1.3871801870753599</v>
      </c>
      <c r="G2370" s="2071">
        <v>0.37619129740768797</v>
      </c>
    </row>
    <row r="2371" spans="1:7" x14ac:dyDescent="0.3">
      <c r="A2371" s="6" t="s">
        <v>1136</v>
      </c>
      <c r="B2371" s="6"/>
      <c r="C2371" s="2064">
        <v>26</v>
      </c>
      <c r="D2371" s="2064">
        <v>11229.229978107</v>
      </c>
      <c r="E2371" s="2065">
        <v>4093.2547614397199</v>
      </c>
      <c r="F2371" s="2066">
        <v>1.373500265803</v>
      </c>
      <c r="G2371" s="2067">
        <v>0.50066536296771103</v>
      </c>
    </row>
    <row r="2372" spans="1:7" x14ac:dyDescent="0.3">
      <c r="A2372" s="11" t="s">
        <v>1232</v>
      </c>
      <c r="B2372" s="11"/>
      <c r="C2372" s="2068">
        <v>46</v>
      </c>
      <c r="D2372" s="2068">
        <v>11218.811436699199</v>
      </c>
      <c r="E2372" s="2069">
        <v>4097.3570543906499</v>
      </c>
      <c r="F2372" s="2070">
        <v>1.3722259246931701</v>
      </c>
      <c r="G2372" s="2071">
        <v>0.50116713383441502</v>
      </c>
    </row>
    <row r="2373" spans="1:7" x14ac:dyDescent="0.3">
      <c r="A2373" s="6" t="s">
        <v>3250</v>
      </c>
      <c r="B2373" s="6"/>
      <c r="C2373" s="2064">
        <v>40</v>
      </c>
      <c r="D2373" s="2064">
        <v>11211.9867945072</v>
      </c>
      <c r="E2373" s="2065">
        <v>3065.4569131264502</v>
      </c>
      <c r="F2373" s="2066">
        <v>1.3713911704060999</v>
      </c>
      <c r="G2373" s="2067">
        <v>0.374950543643297</v>
      </c>
    </row>
    <row r="2374" spans="1:7" x14ac:dyDescent="0.3">
      <c r="A2374" s="11" t="s">
        <v>1124</v>
      </c>
      <c r="B2374" s="11"/>
      <c r="C2374" s="2068">
        <v>20</v>
      </c>
      <c r="D2374" s="2068">
        <v>11139.4358535926</v>
      </c>
      <c r="E2374" s="2069">
        <v>2902.4947499323798</v>
      </c>
      <c r="F2374" s="2070">
        <v>1.36251712144416</v>
      </c>
      <c r="G2374" s="2071">
        <v>0.35501787017420999</v>
      </c>
    </row>
    <row r="2375" spans="1:7" x14ac:dyDescent="0.3">
      <c r="A2375" s="6" t="s">
        <v>6361</v>
      </c>
      <c r="B2375" s="6"/>
      <c r="C2375" s="2064">
        <v>22</v>
      </c>
      <c r="D2375" s="2064">
        <v>11054.536191544399</v>
      </c>
      <c r="E2375" s="2065">
        <v>2611.26484590255</v>
      </c>
      <c r="F2375" s="2066">
        <v>1.3521326419547399</v>
      </c>
      <c r="G2375" s="2067">
        <v>0.31939616224102002</v>
      </c>
    </row>
    <row r="2376" spans="1:7" x14ac:dyDescent="0.3">
      <c r="A2376" s="11" t="s">
        <v>6357</v>
      </c>
      <c r="B2376" s="11"/>
      <c r="C2376" s="2068">
        <v>18</v>
      </c>
      <c r="D2376" s="2068">
        <v>10987.1118184511</v>
      </c>
      <c r="E2376" s="2069">
        <v>2488.4820851634199</v>
      </c>
      <c r="F2376" s="2070">
        <v>1.34388564776673</v>
      </c>
      <c r="G2376" s="2071">
        <v>0.30437802165257299</v>
      </c>
    </row>
    <row r="2377" spans="1:7" x14ac:dyDescent="0.3">
      <c r="A2377" s="6" t="s">
        <v>3134</v>
      </c>
      <c r="B2377" s="6"/>
      <c r="C2377" s="2064">
        <v>28</v>
      </c>
      <c r="D2377" s="2064">
        <v>10838.030598514501</v>
      </c>
      <c r="E2377" s="2065">
        <v>3587.0102575084102</v>
      </c>
      <c r="F2377" s="2066">
        <v>1.3256508181650299</v>
      </c>
      <c r="G2377" s="2067">
        <v>0.438744201671114</v>
      </c>
    </row>
    <row r="2378" spans="1:7" x14ac:dyDescent="0.3">
      <c r="A2378" s="11" t="s">
        <v>1140</v>
      </c>
      <c r="B2378" s="11"/>
      <c r="C2378" s="2068">
        <v>37</v>
      </c>
      <c r="D2378" s="2068">
        <v>10515.746838576701</v>
      </c>
      <c r="E2378" s="2069">
        <v>1576.7853429101899</v>
      </c>
      <c r="F2378" s="2070">
        <v>1.2862307661399399</v>
      </c>
      <c r="G2378" s="2071">
        <v>0.19286407810898901</v>
      </c>
    </row>
    <row r="2379" spans="1:7" x14ac:dyDescent="0.3">
      <c r="A2379" s="6" t="s">
        <v>1122</v>
      </c>
      <c r="B2379" s="6"/>
      <c r="C2379" s="2064">
        <v>26</v>
      </c>
      <c r="D2379" s="2064">
        <v>10409.5160214806</v>
      </c>
      <c r="E2379" s="2065">
        <v>1576.8730798458</v>
      </c>
      <c r="F2379" s="2066">
        <v>1.2732371721177</v>
      </c>
      <c r="G2379" s="2067">
        <v>0.19287480962883599</v>
      </c>
    </row>
    <row r="2380" spans="1:7" x14ac:dyDescent="0.3">
      <c r="A2380" s="11" t="s">
        <v>1120</v>
      </c>
      <c r="B2380" s="11"/>
      <c r="C2380" s="2068">
        <v>17</v>
      </c>
      <c r="D2380" s="2068">
        <v>10157.537868255</v>
      </c>
      <c r="E2380" s="2069">
        <v>3565.3701005286798</v>
      </c>
      <c r="F2380" s="2070">
        <v>1.2424165316012299</v>
      </c>
      <c r="G2380" s="2071">
        <v>0.43609729164953398</v>
      </c>
    </row>
    <row r="2381" spans="1:7" x14ac:dyDescent="0.3">
      <c r="A2381" s="6" t="s">
        <v>1071</v>
      </c>
      <c r="B2381" s="6"/>
      <c r="C2381" s="2064">
        <v>18</v>
      </c>
      <c r="D2381" s="2064">
        <v>9891.0690211769906</v>
      </c>
      <c r="E2381" s="2065">
        <v>2846.0592238098002</v>
      </c>
      <c r="F2381" s="2066">
        <v>1.2098234657362199</v>
      </c>
      <c r="G2381" s="2067">
        <v>0.34811497386865597</v>
      </c>
    </row>
    <row r="2382" spans="1:7" x14ac:dyDescent="0.3">
      <c r="A2382" s="11" t="s">
        <v>1065</v>
      </c>
      <c r="B2382" s="11"/>
      <c r="C2382" s="2068">
        <v>19</v>
      </c>
      <c r="D2382" s="2068">
        <v>9839.8919160096593</v>
      </c>
      <c r="E2382" s="2069">
        <v>2045.7489033757299</v>
      </c>
      <c r="F2382" s="2070">
        <v>1.2035637517854501</v>
      </c>
      <c r="G2382" s="2071">
        <v>0.250225230762122</v>
      </c>
    </row>
    <row r="2383" spans="1:7" x14ac:dyDescent="0.3">
      <c r="A2383" s="6" t="s">
        <v>1128</v>
      </c>
      <c r="B2383" s="6"/>
      <c r="C2383" s="2064">
        <v>21</v>
      </c>
      <c r="D2383" s="2064">
        <v>9540.6782202159193</v>
      </c>
      <c r="E2383" s="2065">
        <v>4031.1120624493401</v>
      </c>
      <c r="F2383" s="2066">
        <v>1.16696550849487</v>
      </c>
      <c r="G2383" s="2067">
        <v>0.493064395337037</v>
      </c>
    </row>
    <row r="2384" spans="1:7" x14ac:dyDescent="0.3">
      <c r="A2384" s="11" t="s">
        <v>3107</v>
      </c>
      <c r="B2384" s="11"/>
      <c r="C2384" s="2068">
        <v>18</v>
      </c>
      <c r="D2384" s="2068">
        <v>9230.7182630593597</v>
      </c>
      <c r="E2384" s="2069">
        <v>3842.6769968937601</v>
      </c>
      <c r="F2384" s="2070">
        <v>1.12905283911568</v>
      </c>
      <c r="G2384" s="2071">
        <v>0.47001601061860199</v>
      </c>
    </row>
    <row r="2385" spans="1:7" x14ac:dyDescent="0.3">
      <c r="A2385" s="6" t="s">
        <v>3128</v>
      </c>
      <c r="B2385" s="6"/>
      <c r="C2385" s="2064">
        <v>26</v>
      </c>
      <c r="D2385" s="2064">
        <v>9225.1038191134394</v>
      </c>
      <c r="E2385" s="2065">
        <v>4028.5452841486499</v>
      </c>
      <c r="F2385" s="2066">
        <v>1.12836610990388</v>
      </c>
      <c r="G2385" s="2067">
        <v>0.49275044053469202</v>
      </c>
    </row>
    <row r="2386" spans="1:7" x14ac:dyDescent="0.3">
      <c r="A2386" s="11" t="s">
        <v>1132</v>
      </c>
      <c r="B2386" s="11"/>
      <c r="C2386" s="2068">
        <v>24</v>
      </c>
      <c r="D2386" s="2068">
        <v>9200.8136507101208</v>
      </c>
      <c r="E2386" s="2069">
        <v>2802.1027122168698</v>
      </c>
      <c r="F2386" s="2070">
        <v>1.1253950644427599</v>
      </c>
      <c r="G2386" s="2071">
        <v>0.34273844489255001</v>
      </c>
    </row>
    <row r="2387" spans="1:7" x14ac:dyDescent="0.3">
      <c r="A2387" s="6" t="s">
        <v>1130</v>
      </c>
      <c r="B2387" s="6"/>
      <c r="C2387" s="2064">
        <v>19</v>
      </c>
      <c r="D2387" s="2064">
        <v>9194.9230418324496</v>
      </c>
      <c r="E2387" s="2065">
        <v>2163.84622667141</v>
      </c>
      <c r="F2387" s="2066">
        <v>1.12467455619108</v>
      </c>
      <c r="G2387" s="2067">
        <v>0.26467027332100501</v>
      </c>
    </row>
    <row r="2388" spans="1:7" x14ac:dyDescent="0.3">
      <c r="A2388" s="11" t="s">
        <v>1150</v>
      </c>
      <c r="B2388" s="11"/>
      <c r="C2388" s="2068">
        <v>43</v>
      </c>
      <c r="D2388" s="2068">
        <v>9155.0529750894293</v>
      </c>
      <c r="E2388" s="2069">
        <v>2259.21060669905</v>
      </c>
      <c r="F2388" s="2070">
        <v>1.1197978596254301</v>
      </c>
      <c r="G2388" s="2071">
        <v>0.276334741995302</v>
      </c>
    </row>
    <row r="2389" spans="1:7" x14ac:dyDescent="0.3">
      <c r="A2389" s="6" t="s">
        <v>1081</v>
      </c>
      <c r="B2389" s="6"/>
      <c r="C2389" s="2064">
        <v>17</v>
      </c>
      <c r="D2389" s="2064">
        <v>9080.5411507224308</v>
      </c>
      <c r="E2389" s="2065">
        <v>2563.9356439630001</v>
      </c>
      <c r="F2389" s="2066">
        <v>1.1106839657277101</v>
      </c>
      <c r="G2389" s="2067">
        <v>0.31360710354590399</v>
      </c>
    </row>
    <row r="2390" spans="1:7" x14ac:dyDescent="0.3">
      <c r="A2390" s="11" t="s">
        <v>3142</v>
      </c>
      <c r="B2390" s="11"/>
      <c r="C2390" s="2068">
        <v>29</v>
      </c>
      <c r="D2390" s="2068">
        <v>8785.2724528903509</v>
      </c>
      <c r="E2390" s="2069">
        <v>1929.88901623725</v>
      </c>
      <c r="F2390" s="2070">
        <v>1.07456825380923</v>
      </c>
      <c r="G2390" s="2071">
        <v>0.23605385960925901</v>
      </c>
    </row>
    <row r="2391" spans="1:7" x14ac:dyDescent="0.3">
      <c r="A2391" s="6" t="s">
        <v>3144</v>
      </c>
      <c r="B2391" s="6"/>
      <c r="C2391" s="2064">
        <v>42</v>
      </c>
      <c r="D2391" s="2064">
        <v>8525.8639041901806</v>
      </c>
      <c r="E2391" s="2065">
        <v>1057.9188863556999</v>
      </c>
      <c r="F2391" s="2066">
        <v>1.0428387664547201</v>
      </c>
      <c r="G2391" s="2067">
        <v>0.129399066048207</v>
      </c>
    </row>
    <row r="2392" spans="1:7" x14ac:dyDescent="0.3">
      <c r="A2392" s="11" t="s">
        <v>3118</v>
      </c>
      <c r="B2392" s="11"/>
      <c r="C2392" s="2068">
        <v>17</v>
      </c>
      <c r="D2392" s="2068">
        <v>8404.1989617873496</v>
      </c>
      <c r="E2392" s="2069">
        <v>2573.4013126792902</v>
      </c>
      <c r="F2392" s="2070">
        <v>1.02795735151754</v>
      </c>
      <c r="G2392" s="2071">
        <v>0.31476489428695897</v>
      </c>
    </row>
    <row r="2393" spans="1:7" x14ac:dyDescent="0.3">
      <c r="A2393" s="6" t="s">
        <v>6460</v>
      </c>
      <c r="B2393" s="6"/>
      <c r="C2393" s="2064">
        <v>36</v>
      </c>
      <c r="D2393" s="2064">
        <v>8395.5378846272597</v>
      </c>
      <c r="E2393" s="2065">
        <v>2302.20570081489</v>
      </c>
      <c r="F2393" s="2066">
        <v>1.0268979741777999</v>
      </c>
      <c r="G2393" s="2067">
        <v>0.28159367544946301</v>
      </c>
    </row>
    <row r="2394" spans="1:7" x14ac:dyDescent="0.3">
      <c r="A2394" s="11" t="s">
        <v>6363</v>
      </c>
      <c r="B2394" s="11"/>
      <c r="C2394" s="2068">
        <v>27</v>
      </c>
      <c r="D2394" s="2068">
        <v>8321.4409478346897</v>
      </c>
      <c r="E2394" s="2069">
        <v>2741.6671811680799</v>
      </c>
      <c r="F2394" s="2070">
        <v>1.01783482714295</v>
      </c>
      <c r="G2394" s="2071">
        <v>0.33534628905271902</v>
      </c>
    </row>
    <row r="2395" spans="1:7" x14ac:dyDescent="0.3">
      <c r="A2395" s="6" t="s">
        <v>1222</v>
      </c>
      <c r="B2395" s="6"/>
      <c r="C2395" s="2064">
        <v>14</v>
      </c>
      <c r="D2395" s="2064">
        <v>8291.6007613010206</v>
      </c>
      <c r="E2395" s="2065">
        <v>3799.82244676665</v>
      </c>
      <c r="F2395" s="2066">
        <v>1.0141849326964401</v>
      </c>
      <c r="G2395" s="2067">
        <v>0.464774267764888</v>
      </c>
    </row>
    <row r="2396" spans="1:7" x14ac:dyDescent="0.3">
      <c r="A2396" s="11" t="s">
        <v>3254</v>
      </c>
      <c r="B2396" s="11"/>
      <c r="C2396" s="2068">
        <v>35</v>
      </c>
      <c r="D2396" s="2068">
        <v>8068.24261512047</v>
      </c>
      <c r="E2396" s="2069">
        <v>3143.7095096141402</v>
      </c>
      <c r="F2396" s="2070">
        <v>0.98686494069820596</v>
      </c>
      <c r="G2396" s="2071">
        <v>0.38452198908391599</v>
      </c>
    </row>
    <row r="2397" spans="1:7" x14ac:dyDescent="0.3">
      <c r="A2397" s="6" t="s">
        <v>1152</v>
      </c>
      <c r="B2397" s="6"/>
      <c r="C2397" s="2064">
        <v>47</v>
      </c>
      <c r="D2397" s="2064">
        <v>8034.6704357532499</v>
      </c>
      <c r="E2397" s="2065">
        <v>2098.3605792450498</v>
      </c>
      <c r="F2397" s="2066">
        <v>0.98275856854496302</v>
      </c>
      <c r="G2397" s="2067">
        <v>0.25666041384517801</v>
      </c>
    </row>
    <row r="2398" spans="1:7" x14ac:dyDescent="0.3">
      <c r="A2398" s="11" t="s">
        <v>3252</v>
      </c>
      <c r="B2398" s="11"/>
      <c r="C2398" s="2068">
        <v>35</v>
      </c>
      <c r="D2398" s="2068">
        <v>7939.0334050998399</v>
      </c>
      <c r="E2398" s="2069">
        <v>1797.43869598329</v>
      </c>
      <c r="F2398" s="2070">
        <v>0.971060750682191</v>
      </c>
      <c r="G2398" s="2071">
        <v>0.21985323406065199</v>
      </c>
    </row>
    <row r="2399" spans="1:7" x14ac:dyDescent="0.3">
      <c r="A2399" s="6" t="s">
        <v>3120</v>
      </c>
      <c r="B2399" s="6"/>
      <c r="C2399" s="2064">
        <v>17</v>
      </c>
      <c r="D2399" s="2064">
        <v>7878.9467266372403</v>
      </c>
      <c r="E2399" s="2065">
        <v>2925.6691753652299</v>
      </c>
      <c r="F2399" s="2066">
        <v>0.96371126465327395</v>
      </c>
      <c r="G2399" s="2067">
        <v>0.35785244383187997</v>
      </c>
    </row>
    <row r="2400" spans="1:7" x14ac:dyDescent="0.3">
      <c r="A2400" s="11" t="s">
        <v>3136</v>
      </c>
      <c r="B2400" s="11"/>
      <c r="C2400" s="2068">
        <v>23</v>
      </c>
      <c r="D2400" s="2068">
        <v>7795.7054360308703</v>
      </c>
      <c r="E2400" s="2069">
        <v>2012.2916649885101</v>
      </c>
      <c r="F2400" s="2070">
        <v>0.95352962842384903</v>
      </c>
      <c r="G2400" s="2071">
        <v>0.24613291758415101</v>
      </c>
    </row>
    <row r="2401" spans="1:7" x14ac:dyDescent="0.3">
      <c r="A2401" s="6" t="s">
        <v>3265</v>
      </c>
      <c r="B2401" s="6"/>
      <c r="C2401" s="2064">
        <v>42</v>
      </c>
      <c r="D2401" s="2064">
        <v>7474.4904726530704</v>
      </c>
      <c r="E2401" s="2065">
        <v>1785.34847133371</v>
      </c>
      <c r="F2401" s="2066">
        <v>0.91424030596456396</v>
      </c>
      <c r="G2401" s="2067">
        <v>0.218374421461552</v>
      </c>
    </row>
    <row r="2402" spans="1:7" x14ac:dyDescent="0.3">
      <c r="A2402" s="11" t="s">
        <v>3263</v>
      </c>
      <c r="B2402" s="11"/>
      <c r="C2402" s="2068">
        <v>36</v>
      </c>
      <c r="D2402" s="2068">
        <v>7250.0638956089497</v>
      </c>
      <c r="E2402" s="2069">
        <v>909.463248486059</v>
      </c>
      <c r="F2402" s="2070">
        <v>0.886789629130593</v>
      </c>
      <c r="G2402" s="2071">
        <v>0.111240754349947</v>
      </c>
    </row>
    <row r="2403" spans="1:7" x14ac:dyDescent="0.3">
      <c r="A2403" s="6" t="s">
        <v>1138</v>
      </c>
      <c r="B2403" s="6"/>
      <c r="C2403" s="2064">
        <v>28</v>
      </c>
      <c r="D2403" s="2064">
        <v>6956.2695598396203</v>
      </c>
      <c r="E2403" s="2065">
        <v>2044.87291962165</v>
      </c>
      <c r="F2403" s="2066">
        <v>0.85085425341406395</v>
      </c>
      <c r="G2403" s="2067">
        <v>0.25011808504319</v>
      </c>
    </row>
    <row r="2404" spans="1:7" x14ac:dyDescent="0.3">
      <c r="A2404" s="11" t="s">
        <v>3122</v>
      </c>
      <c r="B2404" s="11"/>
      <c r="C2404" s="2068">
        <v>23</v>
      </c>
      <c r="D2404" s="2068">
        <v>6875.8494177682596</v>
      </c>
      <c r="E2404" s="2069">
        <v>2189.5024881136501</v>
      </c>
      <c r="F2404" s="2070">
        <v>0.84101768521426001</v>
      </c>
      <c r="G2404" s="2071">
        <v>0.26780841208734302</v>
      </c>
    </row>
    <row r="2405" spans="1:7" x14ac:dyDescent="0.3">
      <c r="A2405" s="6" t="s">
        <v>1134</v>
      </c>
      <c r="B2405" s="6"/>
      <c r="C2405" s="2064">
        <v>20</v>
      </c>
      <c r="D2405" s="2064">
        <v>6873.8822198837697</v>
      </c>
      <c r="E2405" s="2065">
        <v>3210.41026874307</v>
      </c>
      <c r="F2405" s="2066">
        <v>0.84077706793039497</v>
      </c>
      <c r="G2405" s="2067">
        <v>0.392680474623126</v>
      </c>
    </row>
    <row r="2406" spans="1:7" x14ac:dyDescent="0.3">
      <c r="A2406" s="11" t="s">
        <v>1228</v>
      </c>
      <c r="B2406" s="11"/>
      <c r="C2406" s="2068">
        <v>29</v>
      </c>
      <c r="D2406" s="2068">
        <v>6776.6379348619703</v>
      </c>
      <c r="E2406" s="2069">
        <v>1434.82070632351</v>
      </c>
      <c r="F2406" s="2070">
        <v>0.8288826591788</v>
      </c>
      <c r="G2406" s="2071">
        <v>0.175499711499115</v>
      </c>
    </row>
    <row r="2407" spans="1:7" x14ac:dyDescent="0.3">
      <c r="A2407" s="6" t="s">
        <v>1219</v>
      </c>
      <c r="B2407" s="6"/>
      <c r="C2407" s="2064">
        <v>8</v>
      </c>
      <c r="D2407" s="2064">
        <v>6606.0489724455201</v>
      </c>
      <c r="E2407" s="2065">
        <v>3240.7805984811798</v>
      </c>
      <c r="F2407" s="2066">
        <v>0.80801711579970203</v>
      </c>
      <c r="G2407" s="2067">
        <v>0.396395213394097</v>
      </c>
    </row>
    <row r="2408" spans="1:7" x14ac:dyDescent="0.3">
      <c r="A2408" s="11" t="s">
        <v>6364</v>
      </c>
      <c r="B2408" s="11"/>
      <c r="C2408" s="2068">
        <v>14</v>
      </c>
      <c r="D2408" s="2068">
        <v>6506.97951529477</v>
      </c>
      <c r="E2408" s="2069">
        <v>3246.54685619049</v>
      </c>
      <c r="F2408" s="2070">
        <v>0.79589946160659997</v>
      </c>
      <c r="G2408" s="2071">
        <v>0.39710051166582699</v>
      </c>
    </row>
    <row r="2409" spans="1:7" x14ac:dyDescent="0.3">
      <c r="A2409" s="6" t="s">
        <v>1069</v>
      </c>
      <c r="B2409" s="6"/>
      <c r="C2409" s="2064">
        <v>16</v>
      </c>
      <c r="D2409" s="2064">
        <v>6333.1600512088999</v>
      </c>
      <c r="E2409" s="2065">
        <v>2157.9828857915099</v>
      </c>
      <c r="F2409" s="2066">
        <v>0.77463878027857203</v>
      </c>
      <c r="G2409" s="2067">
        <v>0.26395310034719199</v>
      </c>
    </row>
    <row r="2410" spans="1:7" x14ac:dyDescent="0.3">
      <c r="A2410" s="11" t="s">
        <v>1114</v>
      </c>
      <c r="B2410" s="11"/>
      <c r="C2410" s="2068">
        <v>14</v>
      </c>
      <c r="D2410" s="2068">
        <v>6136.1914186451404</v>
      </c>
      <c r="E2410" s="2069">
        <v>1720.89243800438</v>
      </c>
      <c r="F2410" s="2070">
        <v>0.75054661459057503</v>
      </c>
      <c r="G2410" s="2071">
        <v>0.210490498959026</v>
      </c>
    </row>
    <row r="2411" spans="1:7" x14ac:dyDescent="0.3">
      <c r="A2411" s="6" t="s">
        <v>6397</v>
      </c>
      <c r="B2411" s="6"/>
      <c r="C2411" s="2064">
        <v>38</v>
      </c>
      <c r="D2411" s="2064">
        <v>5852.8852836639799</v>
      </c>
      <c r="E2411" s="2065">
        <v>987.29012351546305</v>
      </c>
      <c r="F2411" s="2066">
        <v>0.71589410035238699</v>
      </c>
      <c r="G2411" s="2067">
        <v>0.12076012778409299</v>
      </c>
    </row>
    <row r="2412" spans="1:7" x14ac:dyDescent="0.3">
      <c r="A2412" s="11" t="s">
        <v>1158</v>
      </c>
      <c r="B2412" s="11"/>
      <c r="C2412" s="2068">
        <v>35</v>
      </c>
      <c r="D2412" s="2068">
        <v>5843.82736615676</v>
      </c>
      <c r="E2412" s="2069">
        <v>1469.5168194610801</v>
      </c>
      <c r="F2412" s="2070">
        <v>0.71478618359157198</v>
      </c>
      <c r="G2412" s="2071">
        <v>0.179743557311312</v>
      </c>
    </row>
    <row r="2413" spans="1:7" x14ac:dyDescent="0.3">
      <c r="A2413" s="6" t="s">
        <v>1160</v>
      </c>
      <c r="B2413" s="6"/>
      <c r="C2413" s="2064">
        <v>33</v>
      </c>
      <c r="D2413" s="2064">
        <v>5514.5754082664998</v>
      </c>
      <c r="E2413" s="2065">
        <v>1186.57531700246</v>
      </c>
      <c r="F2413" s="2066">
        <v>0.67451381829492096</v>
      </c>
      <c r="G2413" s="2067">
        <v>0.14513564300273599</v>
      </c>
    </row>
    <row r="2414" spans="1:7" x14ac:dyDescent="0.3">
      <c r="A2414" s="11" t="s">
        <v>1156</v>
      </c>
      <c r="B2414" s="11"/>
      <c r="C2414" s="2068">
        <v>41</v>
      </c>
      <c r="D2414" s="2068">
        <v>5444.5682559812403</v>
      </c>
      <c r="E2414" s="2069">
        <v>1952.63054265503</v>
      </c>
      <c r="F2414" s="2070">
        <v>0.66595091215982605</v>
      </c>
      <c r="G2414" s="2071">
        <v>0.23883548333951399</v>
      </c>
    </row>
    <row r="2415" spans="1:7" x14ac:dyDescent="0.3">
      <c r="A2415" s="6" t="s">
        <v>3103</v>
      </c>
      <c r="B2415" s="6"/>
      <c r="C2415" s="2064">
        <v>15</v>
      </c>
      <c r="D2415" s="2064">
        <v>5331.5368909660601</v>
      </c>
      <c r="E2415" s="2065">
        <v>1096.3424224375699</v>
      </c>
      <c r="F2415" s="2066">
        <v>0.65212551093506699</v>
      </c>
      <c r="G2415" s="2067">
        <v>0.13409883060236</v>
      </c>
    </row>
    <row r="2416" spans="1:7" x14ac:dyDescent="0.3">
      <c r="A2416" s="11" t="s">
        <v>3162</v>
      </c>
      <c r="B2416" s="11"/>
      <c r="C2416" s="2068">
        <v>22</v>
      </c>
      <c r="D2416" s="2068">
        <v>4408.1309936899297</v>
      </c>
      <c r="E2416" s="2069">
        <v>1013.32932993456</v>
      </c>
      <c r="F2416" s="2070">
        <v>0.53917936522199905</v>
      </c>
      <c r="G2416" s="2071">
        <v>0.123945106363003</v>
      </c>
    </row>
    <row r="2417" spans="1:7" x14ac:dyDescent="0.3">
      <c r="A2417" s="6" t="s">
        <v>6461</v>
      </c>
      <c r="B2417" s="6"/>
      <c r="C2417" s="2064">
        <v>22</v>
      </c>
      <c r="D2417" s="2064">
        <v>4406.5641731916903</v>
      </c>
      <c r="E2417" s="2065">
        <v>2098.0032343160701</v>
      </c>
      <c r="F2417" s="2066">
        <v>0.53898771999120398</v>
      </c>
      <c r="G2417" s="2067">
        <v>0.25661670529562502</v>
      </c>
    </row>
    <row r="2418" spans="1:7" x14ac:dyDescent="0.3">
      <c r="A2418" s="11" t="s">
        <v>1234</v>
      </c>
      <c r="B2418" s="11"/>
      <c r="C2418" s="2068">
        <v>18</v>
      </c>
      <c r="D2418" s="2068">
        <v>4304.7714397816999</v>
      </c>
      <c r="E2418" s="2069">
        <v>1592.6290719307201</v>
      </c>
      <c r="F2418" s="2070">
        <v>0.526536968989754</v>
      </c>
      <c r="G2418" s="2071">
        <v>0.19480199959278</v>
      </c>
    </row>
    <row r="2419" spans="1:7" x14ac:dyDescent="0.3">
      <c r="A2419" s="6" t="s">
        <v>3273</v>
      </c>
      <c r="B2419" s="6"/>
      <c r="C2419" s="2064">
        <v>22</v>
      </c>
      <c r="D2419" s="2064">
        <v>3699.6893571935998</v>
      </c>
      <c r="E2419" s="2065">
        <v>1662.9346281356</v>
      </c>
      <c r="F2419" s="2066">
        <v>0.45252651565611501</v>
      </c>
      <c r="G2419" s="2067">
        <v>0.203401404923608</v>
      </c>
    </row>
    <row r="2420" spans="1:7" x14ac:dyDescent="0.3">
      <c r="A2420" s="11" t="s">
        <v>1154</v>
      </c>
      <c r="B2420" s="11"/>
      <c r="C2420" s="2068">
        <v>20</v>
      </c>
      <c r="D2420" s="2068">
        <v>3616.47697654385</v>
      </c>
      <c r="E2420" s="2069">
        <v>773.27938377110104</v>
      </c>
      <c r="F2420" s="2070">
        <v>0.44234841554031401</v>
      </c>
      <c r="G2420" s="2071">
        <v>9.4583461307703703E-2</v>
      </c>
    </row>
    <row r="2421" spans="1:7" x14ac:dyDescent="0.3">
      <c r="A2421" s="6" t="s">
        <v>3275</v>
      </c>
      <c r="B2421" s="6"/>
      <c r="C2421" s="2064">
        <v>14</v>
      </c>
      <c r="D2421" s="2064">
        <v>3433.7351718443001</v>
      </c>
      <c r="E2421" s="2065">
        <v>1463.96138960187</v>
      </c>
      <c r="F2421" s="2066">
        <v>0.41999640050299503</v>
      </c>
      <c r="G2421" s="2067">
        <v>0.17906404639175999</v>
      </c>
    </row>
    <row r="2422" spans="1:7" x14ac:dyDescent="0.3">
      <c r="A2422" s="11" t="s">
        <v>1168</v>
      </c>
      <c r="B2422" s="11"/>
      <c r="C2422" s="2068">
        <v>15</v>
      </c>
      <c r="D2422" s="2068">
        <v>3313.7257544792801</v>
      </c>
      <c r="E2422" s="2069">
        <v>1420.92843947696</v>
      </c>
      <c r="F2422" s="2070">
        <v>0.40531748066868101</v>
      </c>
      <c r="G2422" s="2071">
        <v>0.173800482589961</v>
      </c>
    </row>
    <row r="2423" spans="1:7" x14ac:dyDescent="0.3">
      <c r="A2423" s="6" t="s">
        <v>1164</v>
      </c>
      <c r="B2423" s="6"/>
      <c r="C2423" s="2064">
        <v>14</v>
      </c>
      <c r="D2423" s="2064">
        <v>2064.76052985055</v>
      </c>
      <c r="E2423" s="2065">
        <v>1219.50920289959</v>
      </c>
      <c r="F2423" s="2066">
        <v>0.25255063277699002</v>
      </c>
      <c r="G2423" s="2067">
        <v>0.14916394246065301</v>
      </c>
    </row>
    <row r="2424" spans="1:7" x14ac:dyDescent="0.3">
      <c r="A2424" s="11" t="s">
        <v>6367</v>
      </c>
      <c r="B2424" s="11"/>
      <c r="C2424" s="2068">
        <v>14</v>
      </c>
      <c r="D2424" s="2068">
        <v>1353.1532437507401</v>
      </c>
      <c r="E2424" s="2069">
        <v>483.60489394860201</v>
      </c>
      <c r="F2424" s="2070">
        <v>0.165510577625301</v>
      </c>
      <c r="G2424" s="2071">
        <v>5.9152003447881303E-2</v>
      </c>
    </row>
    <row r="2425" spans="1:7" x14ac:dyDescent="0.3">
      <c r="A2425" s="6" t="s">
        <v>1162</v>
      </c>
      <c r="B2425" s="6"/>
      <c r="C2425" s="2064">
        <v>17</v>
      </c>
      <c r="D2425" s="2064">
        <v>1284.5097902715199</v>
      </c>
      <c r="E2425" s="2065">
        <v>384.101266246036</v>
      </c>
      <c r="F2425" s="2066">
        <v>0.15711447194546799</v>
      </c>
      <c r="G2425" s="2067">
        <v>4.69812437996871E-2</v>
      </c>
    </row>
    <row r="2426" spans="1:7" x14ac:dyDescent="0.3">
      <c r="A2426" s="11" t="s">
        <v>1236</v>
      </c>
      <c r="B2426" s="11"/>
      <c r="C2426" s="2068">
        <v>4</v>
      </c>
      <c r="D2426" s="2068">
        <v>1256.2795164711699</v>
      </c>
      <c r="E2426" s="2069">
        <v>1210.98520757595</v>
      </c>
      <c r="F2426" s="2070">
        <v>0.15366149354498301</v>
      </c>
      <c r="G2426" s="2071">
        <v>0.14812133224912899</v>
      </c>
    </row>
    <row r="2427" spans="1:7" x14ac:dyDescent="0.3">
      <c r="A2427" s="6" t="s">
        <v>3282</v>
      </c>
      <c r="B2427" s="6"/>
      <c r="C2427" s="2064">
        <v>14</v>
      </c>
      <c r="D2427" s="2064">
        <v>1075.25942051273</v>
      </c>
      <c r="E2427" s="2065">
        <v>519.56153172025495</v>
      </c>
      <c r="F2427" s="2066">
        <v>0.13152006885251999</v>
      </c>
      <c r="G2427" s="2067">
        <v>6.3550029994050003E-2</v>
      </c>
    </row>
    <row r="2428" spans="1:7" x14ac:dyDescent="0.3">
      <c r="A2428" s="11" t="s">
        <v>3288</v>
      </c>
      <c r="B2428" s="11"/>
      <c r="C2428" s="2068">
        <v>6</v>
      </c>
      <c r="D2428" s="2068">
        <v>834.16248915178198</v>
      </c>
      <c r="E2428" s="2069">
        <v>499.88074269238899</v>
      </c>
      <c r="F2428" s="2070">
        <v>0.102030362082406</v>
      </c>
      <c r="G2428" s="2071">
        <v>6.1142779540217601E-2</v>
      </c>
    </row>
    <row r="2429" spans="1:7" x14ac:dyDescent="0.3">
      <c r="A2429" s="6" t="s">
        <v>3290</v>
      </c>
      <c r="B2429" s="6"/>
      <c r="C2429" s="2064">
        <v>6</v>
      </c>
      <c r="D2429" s="2064">
        <v>725.19634281327706</v>
      </c>
      <c r="E2429" s="2065">
        <v>496.267207815311</v>
      </c>
      <c r="F2429" s="2066">
        <v>8.8702196994393995E-2</v>
      </c>
      <c r="G2429" s="2067">
        <v>6.0700790986787601E-2</v>
      </c>
    </row>
    <row r="2430" spans="1:7" x14ac:dyDescent="0.3">
      <c r="A2430" s="11" t="s">
        <v>3284</v>
      </c>
      <c r="B2430" s="11"/>
      <c r="C2430" s="2068">
        <v>10</v>
      </c>
      <c r="D2430" s="2068">
        <v>707.92211308672597</v>
      </c>
      <c r="E2430" s="2069">
        <v>258.06036631191301</v>
      </c>
      <c r="F2430" s="2070">
        <v>8.6589304198786701E-2</v>
      </c>
      <c r="G2430" s="2071">
        <v>3.1564584785749E-2</v>
      </c>
    </row>
    <row r="2431" spans="1:7" x14ac:dyDescent="0.3">
      <c r="A2431" s="6" t="s">
        <v>3286</v>
      </c>
      <c r="B2431" s="6"/>
      <c r="C2431" s="2064">
        <v>8</v>
      </c>
      <c r="D2431" s="2064">
        <v>571.34810350063697</v>
      </c>
      <c r="E2431" s="2065">
        <v>324.614855053523</v>
      </c>
      <c r="F2431" s="2066">
        <v>6.9884290690825898E-2</v>
      </c>
      <c r="G2431" s="2067">
        <v>3.97051793015979E-2</v>
      </c>
    </row>
    <row r="2432" spans="1:7" x14ac:dyDescent="0.3">
      <c r="A2432" s="11" t="s">
        <v>1172</v>
      </c>
      <c r="B2432" s="11"/>
      <c r="C2432" s="2068">
        <v>3</v>
      </c>
      <c r="D2432" s="2068">
        <v>460.357892027584</v>
      </c>
      <c r="E2432" s="2069">
        <v>317.79179311768098</v>
      </c>
      <c r="F2432" s="2070">
        <v>5.6308552616444699E-2</v>
      </c>
      <c r="G2432" s="2071">
        <v>3.8870618303137601E-2</v>
      </c>
    </row>
    <row r="2433" spans="1:7" x14ac:dyDescent="0.3">
      <c r="A2433" s="6" t="s">
        <v>6462</v>
      </c>
      <c r="B2433" s="6"/>
      <c r="C2433" s="2064">
        <v>2</v>
      </c>
      <c r="D2433" s="2064">
        <v>456.075166772324</v>
      </c>
      <c r="E2433" s="2065">
        <v>528.36173388683198</v>
      </c>
      <c r="F2433" s="2066">
        <v>5.5784712220627003E-2</v>
      </c>
      <c r="G2433" s="2067">
        <v>6.4626424371801494E-2</v>
      </c>
    </row>
    <row r="2434" spans="1:7" x14ac:dyDescent="0.3">
      <c r="A2434" s="11" t="s">
        <v>1166</v>
      </c>
      <c r="B2434" s="11"/>
      <c r="C2434" s="2068">
        <v>7</v>
      </c>
      <c r="D2434" s="2068">
        <v>408.100825828626</v>
      </c>
      <c r="E2434" s="2069">
        <v>178.76663862202301</v>
      </c>
      <c r="F2434" s="2070">
        <v>4.9916743520514797E-2</v>
      </c>
      <c r="G2434" s="2071">
        <v>2.1865793660185501E-2</v>
      </c>
    </row>
    <row r="2435" spans="1:7" x14ac:dyDescent="0.3">
      <c r="A2435" s="6" t="s">
        <v>1170</v>
      </c>
      <c r="B2435" s="6"/>
      <c r="C2435" s="2064">
        <v>2</v>
      </c>
      <c r="D2435" s="2064">
        <v>398.07932796080303</v>
      </c>
      <c r="E2435" s="2065">
        <v>419.920593854603</v>
      </c>
      <c r="F2435" s="2066">
        <v>4.8690966685234399E-2</v>
      </c>
      <c r="G2435" s="2067">
        <v>5.1362475289929099E-2</v>
      </c>
    </row>
    <row r="2436" spans="1:7" x14ac:dyDescent="0.3">
      <c r="A2436" s="11" t="s">
        <v>1176</v>
      </c>
      <c r="B2436" s="11"/>
      <c r="C2436" s="2068">
        <v>2</v>
      </c>
      <c r="D2436" s="2068">
        <v>278.10062253299498</v>
      </c>
      <c r="E2436" s="2069">
        <v>296.53905969287803</v>
      </c>
      <c r="F2436" s="2070">
        <v>3.4015803373317402E-2</v>
      </c>
      <c r="G2436" s="2071">
        <v>3.6271095890210103E-2</v>
      </c>
    </row>
    <row r="2437" spans="1:7" x14ac:dyDescent="0.3">
      <c r="A2437" s="6" t="s">
        <v>1174</v>
      </c>
      <c r="B2437" s="6"/>
      <c r="C2437" s="2064">
        <v>1</v>
      </c>
      <c r="D2437" s="2064">
        <v>237.05070063546199</v>
      </c>
      <c r="E2437" s="2065">
        <v>317.09822184484199</v>
      </c>
      <c r="F2437" s="2066">
        <v>2.8994793139545501E-2</v>
      </c>
      <c r="G2437" s="2067">
        <v>3.8785784318131102E-2</v>
      </c>
    </row>
    <row r="2438" spans="1:7" x14ac:dyDescent="0.3">
      <c r="A2438" s="11" t="s">
        <v>1238</v>
      </c>
      <c r="B2438" s="11"/>
      <c r="C2438" s="2068">
        <v>1</v>
      </c>
      <c r="D2438" s="2068">
        <v>67.092400603917099</v>
      </c>
      <c r="E2438" s="2069">
        <v>68.317091719042097</v>
      </c>
      <c r="F2438" s="2070">
        <v>8.2063890616279299E-3</v>
      </c>
      <c r="G2438" s="2071">
        <v>8.3561868282985008E-3</v>
      </c>
    </row>
    <row r="2439" spans="1:7" x14ac:dyDescent="0.3">
      <c r="A2439" s="6" t="s">
        <v>6354</v>
      </c>
      <c r="B2439" s="6" t="s">
        <v>6355</v>
      </c>
      <c r="C2439" s="2064">
        <v>2274</v>
      </c>
      <c r="D2439" s="2064">
        <v>817563</v>
      </c>
      <c r="E2439" s="2065">
        <v>3.1753866227776402E-9</v>
      </c>
      <c r="F2439" s="2066">
        <v>100</v>
      </c>
      <c r="G2439" s="2067">
        <v>1.78031750616652E-14</v>
      </c>
    </row>
    <row r="2440" spans="1:7" x14ac:dyDescent="0.3">
      <c r="A2440" s="11" t="s">
        <v>6354</v>
      </c>
      <c r="B2440" s="11" t="s">
        <v>6356</v>
      </c>
      <c r="C2440" s="2068">
        <v>2274</v>
      </c>
      <c r="D2440" s="2068">
        <v>817563</v>
      </c>
      <c r="E2440" s="2069">
        <v>0</v>
      </c>
      <c r="F2440" s="2070">
        <v>100</v>
      </c>
      <c r="G2440" s="2071">
        <v>0</v>
      </c>
    </row>
    <row r="2441" spans="1:7" x14ac:dyDescent="0.3">
      <c r="A2441" s="3449" t="s">
        <v>621</v>
      </c>
      <c r="B2441" s="3450"/>
      <c r="C2441" s="3450"/>
      <c r="D2441" s="3450"/>
      <c r="E2441" s="3450"/>
      <c r="F2441" s="3450"/>
      <c r="G2441" s="3450"/>
    </row>
    <row r="2442" spans="1:7" x14ac:dyDescent="0.3">
      <c r="A2442" s="11" t="s">
        <v>1023</v>
      </c>
      <c r="B2442" s="11"/>
      <c r="C2442" s="2076">
        <v>1228</v>
      </c>
      <c r="D2442" s="2076">
        <v>418683.99993480701</v>
      </c>
      <c r="E2442" s="2077">
        <v>8.6459708232948101E-2</v>
      </c>
      <c r="F2442" s="2078">
        <v>51.211221634883898</v>
      </c>
      <c r="G2442" s="2079">
        <v>1.05752967234965E-5</v>
      </c>
    </row>
    <row r="2443" spans="1:7" x14ac:dyDescent="0.3">
      <c r="A2443" s="6" t="s">
        <v>1021</v>
      </c>
      <c r="B2443" s="6"/>
      <c r="C2443" s="2072">
        <v>1046</v>
      </c>
      <c r="D2443" s="2072">
        <v>398879.00006519398</v>
      </c>
      <c r="E2443" s="2073">
        <v>8.6459718462784302E-2</v>
      </c>
      <c r="F2443" s="2074">
        <v>48.788778365116102</v>
      </c>
      <c r="G2443" s="2075">
        <v>1.0575296815326901E-5</v>
      </c>
    </row>
    <row r="2444" spans="1:7" x14ac:dyDescent="0.3">
      <c r="A2444" s="11" t="s">
        <v>6354</v>
      </c>
      <c r="B2444" s="11" t="s">
        <v>6355</v>
      </c>
      <c r="C2444" s="2076">
        <v>2274</v>
      </c>
      <c r="D2444" s="2076">
        <v>817563.00000000105</v>
      </c>
      <c r="E2444" s="2077">
        <v>1.05728480616091E-8</v>
      </c>
      <c r="F2444" s="2078">
        <v>100</v>
      </c>
      <c r="G2444" s="2079">
        <v>0</v>
      </c>
    </row>
    <row r="2445" spans="1:7" x14ac:dyDescent="0.3">
      <c r="A2445" s="6" t="s">
        <v>6354</v>
      </c>
      <c r="B2445" s="6" t="s">
        <v>6356</v>
      </c>
      <c r="C2445" s="2072">
        <v>2274</v>
      </c>
      <c r="D2445" s="2072">
        <v>817563.00000000105</v>
      </c>
      <c r="E2445" s="2073">
        <v>0</v>
      </c>
      <c r="F2445" s="2074">
        <v>100</v>
      </c>
      <c r="G2445" s="2075">
        <v>0</v>
      </c>
    </row>
    <row r="2446" spans="1:7" x14ac:dyDescent="0.3">
      <c r="A2446" s="3449" t="s">
        <v>605</v>
      </c>
      <c r="B2446" s="3450"/>
      <c r="C2446" s="3450"/>
      <c r="D2446" s="3450"/>
      <c r="E2446" s="3450"/>
      <c r="F2446" s="3450"/>
      <c r="G2446" s="3450"/>
    </row>
    <row r="2447" spans="1:7" x14ac:dyDescent="0.3">
      <c r="A2447" s="11" t="s">
        <v>1023</v>
      </c>
      <c r="B2447" s="11"/>
      <c r="C2447" s="2084">
        <v>2172</v>
      </c>
      <c r="D2447" s="2084">
        <v>732251.99472131103</v>
      </c>
      <c r="E2447" s="2085">
        <v>0.19481618380070101</v>
      </c>
      <c r="F2447" s="2086">
        <v>89.565207173185698</v>
      </c>
      <c r="G2447" s="2087">
        <v>2.38288909986791E-5</v>
      </c>
    </row>
    <row r="2448" spans="1:7" x14ac:dyDescent="0.3">
      <c r="A2448" s="6" t="s">
        <v>1021</v>
      </c>
      <c r="B2448" s="6"/>
      <c r="C2448" s="2080">
        <v>102</v>
      </c>
      <c r="D2448" s="2080">
        <v>85311.0052786874</v>
      </c>
      <c r="E2448" s="2081">
        <v>0.194816198194075</v>
      </c>
      <c r="F2448" s="2082">
        <v>10.4347928268143</v>
      </c>
      <c r="G2448" s="2083">
        <v>2.38288910772159E-5</v>
      </c>
    </row>
    <row r="2449" spans="1:7" x14ac:dyDescent="0.3">
      <c r="A2449" s="11" t="s">
        <v>6354</v>
      </c>
      <c r="B2449" s="11" t="s">
        <v>6355</v>
      </c>
      <c r="C2449" s="2084">
        <v>2274</v>
      </c>
      <c r="D2449" s="2084">
        <v>817562.99999999895</v>
      </c>
      <c r="E2449" s="2085">
        <v>2.0364649455061901E-8</v>
      </c>
      <c r="F2449" s="2086">
        <v>100</v>
      </c>
      <c r="G2449" s="2087">
        <v>1.00709966502038E-13</v>
      </c>
    </row>
    <row r="2450" spans="1:7" x14ac:dyDescent="0.3">
      <c r="A2450" s="6" t="s">
        <v>6354</v>
      </c>
      <c r="B2450" s="6" t="s">
        <v>6356</v>
      </c>
      <c r="C2450" s="2080">
        <v>2274</v>
      </c>
      <c r="D2450" s="2080">
        <v>817562.99999999895</v>
      </c>
      <c r="E2450" s="2081">
        <v>0</v>
      </c>
      <c r="F2450" s="2082">
        <v>100</v>
      </c>
      <c r="G2450" s="2083">
        <v>0</v>
      </c>
    </row>
    <row r="2451" spans="1:7" x14ac:dyDescent="0.3">
      <c r="A2451" s="3449" t="s">
        <v>612</v>
      </c>
      <c r="B2451" s="3450"/>
      <c r="C2451" s="3450"/>
      <c r="D2451" s="3450"/>
      <c r="E2451" s="3450"/>
      <c r="F2451" s="3450"/>
      <c r="G2451" s="3450"/>
    </row>
    <row r="2452" spans="1:7" x14ac:dyDescent="0.3">
      <c r="A2452" s="11" t="s">
        <v>1021</v>
      </c>
      <c r="B2452" s="11"/>
      <c r="C2452" s="2092">
        <v>1750</v>
      </c>
      <c r="D2452" s="2092">
        <v>605467.30901265005</v>
      </c>
      <c r="E2452" s="2093">
        <v>13049.086556870299</v>
      </c>
      <c r="F2452" s="2094">
        <v>74.057572200876194</v>
      </c>
      <c r="G2452" s="2095">
        <v>1.59609553720894</v>
      </c>
    </row>
    <row r="2453" spans="1:7" x14ac:dyDescent="0.3">
      <c r="A2453" s="6" t="s">
        <v>1031</v>
      </c>
      <c r="B2453" s="6"/>
      <c r="C2453" s="2088">
        <v>225</v>
      </c>
      <c r="D2453" s="2088">
        <v>85460.256315004706</v>
      </c>
      <c r="E2453" s="2089">
        <v>9773.5392963216309</v>
      </c>
      <c r="F2453" s="2090">
        <v>10.4530484274612</v>
      </c>
      <c r="G2453" s="2091">
        <v>1.1954478488289499</v>
      </c>
    </row>
    <row r="2454" spans="1:7" x14ac:dyDescent="0.3">
      <c r="A2454" s="11" t="s">
        <v>1023</v>
      </c>
      <c r="B2454" s="11"/>
      <c r="C2454" s="2092">
        <v>123</v>
      </c>
      <c r="D2454" s="2092">
        <v>72927.926903830405</v>
      </c>
      <c r="E2454" s="2093">
        <v>0.78349490666255595</v>
      </c>
      <c r="F2454" s="2094">
        <v>8.9201599025188791</v>
      </c>
      <c r="G2454" s="2095">
        <v>9.5832970243670603E-5</v>
      </c>
    </row>
    <row r="2455" spans="1:7" x14ac:dyDescent="0.3">
      <c r="A2455" s="6" t="s">
        <v>1027</v>
      </c>
      <c r="B2455" s="6"/>
      <c r="C2455" s="2088">
        <v>120</v>
      </c>
      <c r="D2455" s="2088">
        <v>32232.675091025201</v>
      </c>
      <c r="E2455" s="2089">
        <v>8027.2717257274699</v>
      </c>
      <c r="F2455" s="2090">
        <v>3.9425310454393299</v>
      </c>
      <c r="G2455" s="2091">
        <v>0.98185359730411303</v>
      </c>
    </row>
    <row r="2456" spans="1:7" x14ac:dyDescent="0.3">
      <c r="A2456" s="11" t="s">
        <v>1025</v>
      </c>
      <c r="B2456" s="11"/>
      <c r="C2456" s="2092">
        <v>35</v>
      </c>
      <c r="D2456" s="2092">
        <v>11940.870583002599</v>
      </c>
      <c r="E2456" s="2093">
        <v>5063.8973339006297</v>
      </c>
      <c r="F2456" s="2094">
        <v>1.4605443963343001</v>
      </c>
      <c r="G2456" s="2095">
        <v>0.61938924999059897</v>
      </c>
    </row>
    <row r="2457" spans="1:7" x14ac:dyDescent="0.3">
      <c r="A2457" s="6" t="s">
        <v>1052</v>
      </c>
      <c r="B2457" s="6"/>
      <c r="C2457" s="2088">
        <v>17</v>
      </c>
      <c r="D2457" s="2088">
        <v>8446.3539447950698</v>
      </c>
      <c r="E2457" s="2089">
        <v>4473.6857398231105</v>
      </c>
      <c r="F2457" s="2090">
        <v>1.03311352700588</v>
      </c>
      <c r="G2457" s="2091">
        <v>0.54719767648769702</v>
      </c>
    </row>
    <row r="2458" spans="1:7" x14ac:dyDescent="0.3">
      <c r="A2458" s="11" t="s">
        <v>1029</v>
      </c>
      <c r="B2458" s="11"/>
      <c r="C2458" s="2092">
        <v>4</v>
      </c>
      <c r="D2458" s="2092">
        <v>1087.60814969226</v>
      </c>
      <c r="E2458" s="2093">
        <v>750.56508835446505</v>
      </c>
      <c r="F2458" s="2094">
        <v>0.133030500364163</v>
      </c>
      <c r="G2458" s="2095">
        <v>9.1805168330081802E-2</v>
      </c>
    </row>
    <row r="2459" spans="1:7" x14ac:dyDescent="0.3">
      <c r="A2459" s="6" t="s">
        <v>6354</v>
      </c>
      <c r="B2459" s="6" t="s">
        <v>6355</v>
      </c>
      <c r="C2459" s="2088">
        <v>2274</v>
      </c>
      <c r="D2459" s="2088">
        <v>817563</v>
      </c>
      <c r="E2459" s="2089">
        <v>3.3411689909348599E-9</v>
      </c>
      <c r="F2459" s="2090">
        <v>100</v>
      </c>
      <c r="G2459" s="2091">
        <v>1.02786679142825E-14</v>
      </c>
    </row>
    <row r="2460" spans="1:7" x14ac:dyDescent="0.3">
      <c r="A2460" s="11" t="s">
        <v>6354</v>
      </c>
      <c r="B2460" s="11" t="s">
        <v>6356</v>
      </c>
      <c r="C2460" s="2092">
        <v>2274</v>
      </c>
      <c r="D2460" s="2092">
        <v>817563</v>
      </c>
      <c r="E2460" s="2093">
        <v>0</v>
      </c>
      <c r="F2460" s="2094">
        <v>100</v>
      </c>
      <c r="G2460" s="2095">
        <v>0</v>
      </c>
    </row>
    <row r="2461" spans="1:7" x14ac:dyDescent="0.3">
      <c r="A2461" s="3449" t="s">
        <v>969</v>
      </c>
      <c r="B2461" s="3450"/>
      <c r="C2461" s="3450"/>
      <c r="D2461" s="3450"/>
      <c r="E2461" s="3450"/>
      <c r="F2461" s="3450"/>
      <c r="G2461" s="3450"/>
    </row>
    <row r="2462" spans="1:7" x14ac:dyDescent="0.3">
      <c r="A2462" s="11" t="s">
        <v>1021</v>
      </c>
      <c r="B2462" s="11"/>
      <c r="C2462" s="2100">
        <v>1064</v>
      </c>
      <c r="D2462" s="2100">
        <v>411097.92601847299</v>
      </c>
      <c r="E2462" s="2101">
        <v>8775.9109152594792</v>
      </c>
      <c r="F2462" s="2102">
        <v>64.911935864949896</v>
      </c>
      <c r="G2462" s="2103">
        <v>1.5622999136912401</v>
      </c>
    </row>
    <row r="2463" spans="1:7" x14ac:dyDescent="0.3">
      <c r="A2463" s="6" t="s">
        <v>1023</v>
      </c>
      <c r="B2463" s="6"/>
      <c r="C2463" s="2096">
        <v>878</v>
      </c>
      <c r="D2463" s="2096">
        <v>222218.45954390999</v>
      </c>
      <c r="E2463" s="2097">
        <v>10657.019462825499</v>
      </c>
      <c r="F2463" s="2098">
        <v>35.088064135050097</v>
      </c>
      <c r="G2463" s="2099">
        <v>1.5622999136912299</v>
      </c>
    </row>
    <row r="2464" spans="1:7" x14ac:dyDescent="0.3">
      <c r="A2464" s="11" t="s">
        <v>1019</v>
      </c>
      <c r="B2464" s="11"/>
      <c r="C2464" s="2100">
        <v>332</v>
      </c>
      <c r="D2464" s="2100">
        <v>184246.61443761599</v>
      </c>
      <c r="E2464" s="2101">
        <v>3576.9196156644798</v>
      </c>
      <c r="F2464" s="2102">
        <v>100</v>
      </c>
      <c r="G2464" s="2103">
        <v>0</v>
      </c>
    </row>
    <row r="2465" spans="1:7" x14ac:dyDescent="0.3">
      <c r="A2465" s="6" t="s">
        <v>6354</v>
      </c>
      <c r="B2465" s="6" t="s">
        <v>6355</v>
      </c>
      <c r="C2465" s="2096">
        <v>1942</v>
      </c>
      <c r="D2465" s="2096">
        <v>633316.38556238299</v>
      </c>
      <c r="E2465" s="2097">
        <v>3576.9196156651201</v>
      </c>
      <c r="F2465" s="2098">
        <v>77.463924561456807</v>
      </c>
      <c r="G2465" s="2099">
        <v>0.43750996750888099</v>
      </c>
    </row>
    <row r="2466" spans="1:7" x14ac:dyDescent="0.3">
      <c r="A2466" s="11" t="s">
        <v>6354</v>
      </c>
      <c r="B2466" s="11" t="s">
        <v>6356</v>
      </c>
      <c r="C2466" s="2100">
        <v>2274</v>
      </c>
      <c r="D2466" s="2100">
        <v>817563</v>
      </c>
      <c r="E2466" s="2101">
        <v>0</v>
      </c>
      <c r="F2466" s="2102">
        <v>100</v>
      </c>
      <c r="G2466" s="2103">
        <v>0</v>
      </c>
    </row>
    <row r="2467" spans="1:7" x14ac:dyDescent="0.3">
      <c r="A2467" s="3451" t="s">
        <v>1054</v>
      </c>
      <c r="B2467" s="3450"/>
      <c r="C2467" s="3450"/>
      <c r="D2467" s="3450"/>
      <c r="E2467" s="3450"/>
      <c r="F2467" s="3450"/>
      <c r="G2467" s="3450"/>
    </row>
    <row r="2468" spans="1:7" x14ac:dyDescent="0.3">
      <c r="A2468" s="3449" t="s">
        <v>320</v>
      </c>
      <c r="B2468" s="3450"/>
      <c r="C2468" s="3450"/>
      <c r="D2468" s="3450"/>
      <c r="E2468" s="3450"/>
      <c r="F2468" s="3450"/>
      <c r="G2468" s="3450"/>
    </row>
    <row r="2469" spans="1:7" x14ac:dyDescent="0.3">
      <c r="A2469" s="11" t="s">
        <v>6354</v>
      </c>
      <c r="B2469" s="11" t="s">
        <v>6355</v>
      </c>
      <c r="C2469" s="2108">
        <v>1807</v>
      </c>
      <c r="D2469" s="2108">
        <v>619898.25072955305</v>
      </c>
      <c r="E2469" s="2109">
        <v>8816.4550720343595</v>
      </c>
      <c r="F2469" s="2110">
        <v>100</v>
      </c>
      <c r="G2469" s="2111">
        <v>9.9123883653563901E-14</v>
      </c>
    </row>
    <row r="2470" spans="1:7" x14ac:dyDescent="0.3">
      <c r="A2470" s="6" t="s">
        <v>6354</v>
      </c>
      <c r="B2470" s="6" t="s">
        <v>6356</v>
      </c>
      <c r="C2470" s="2104">
        <v>1807</v>
      </c>
      <c r="D2470" s="2104">
        <v>619898.25072955305</v>
      </c>
      <c r="E2470" s="2105">
        <v>0</v>
      </c>
      <c r="F2470" s="2106">
        <v>100</v>
      </c>
      <c r="G2470" s="2107">
        <v>0</v>
      </c>
    </row>
    <row r="2471" spans="1:7" x14ac:dyDescent="0.3">
      <c r="A2471" s="3449" t="s">
        <v>849</v>
      </c>
      <c r="B2471" s="3450"/>
      <c r="C2471" s="3450"/>
      <c r="D2471" s="3450"/>
      <c r="E2471" s="3450"/>
      <c r="F2471" s="3450"/>
      <c r="G2471" s="3450"/>
    </row>
    <row r="2472" spans="1:7" x14ac:dyDescent="0.3">
      <c r="A2472" s="11" t="s">
        <v>1021</v>
      </c>
      <c r="B2472" s="11" t="s">
        <v>6184</v>
      </c>
      <c r="C2472" s="2116">
        <v>996</v>
      </c>
      <c r="D2472" s="2116">
        <v>298140.16258316801</v>
      </c>
      <c r="E2472" s="2117">
        <v>36.281309930907298</v>
      </c>
      <c r="F2472" s="2118">
        <v>48.0950159533906</v>
      </c>
      <c r="G2472" s="2119">
        <v>0.68697681828045298</v>
      </c>
    </row>
    <row r="2473" spans="1:7" x14ac:dyDescent="0.3">
      <c r="A2473" s="6" t="s">
        <v>1023</v>
      </c>
      <c r="B2473" s="6" t="s">
        <v>6185</v>
      </c>
      <c r="C2473" s="2112">
        <v>693</v>
      </c>
      <c r="D2473" s="2112">
        <v>191777.65210584301</v>
      </c>
      <c r="E2473" s="2113">
        <v>2.8696579939428801</v>
      </c>
      <c r="F2473" s="2114">
        <v>30.936956489253198</v>
      </c>
      <c r="G2473" s="2115">
        <v>0.44021805392761099</v>
      </c>
    </row>
    <row r="2474" spans="1:7" x14ac:dyDescent="0.3">
      <c r="A2474" s="11" t="s">
        <v>1025</v>
      </c>
      <c r="B2474" s="11" t="s">
        <v>6186</v>
      </c>
      <c r="C2474" s="2116">
        <v>295</v>
      </c>
      <c r="D2474" s="2116">
        <v>80507.668214862002</v>
      </c>
      <c r="E2474" s="2117">
        <v>6469.2163895714202</v>
      </c>
      <c r="F2474" s="2118">
        <v>12.987239134827901</v>
      </c>
      <c r="G2474" s="2119">
        <v>0.932328996308602</v>
      </c>
    </row>
    <row r="2475" spans="1:7" x14ac:dyDescent="0.3">
      <c r="A2475" s="6" t="s">
        <v>1027</v>
      </c>
      <c r="B2475" s="6" t="s">
        <v>6187</v>
      </c>
      <c r="C2475" s="2112">
        <v>122</v>
      </c>
      <c r="D2475" s="2112">
        <v>32955.482036527603</v>
      </c>
      <c r="E2475" s="2113">
        <v>4662.34520567243</v>
      </c>
      <c r="F2475" s="2114">
        <v>5.3162727911786503</v>
      </c>
      <c r="G2475" s="2115">
        <v>0.69952613629124805</v>
      </c>
    </row>
    <row r="2476" spans="1:7" x14ac:dyDescent="0.3">
      <c r="A2476" s="11" t="s">
        <v>1029</v>
      </c>
      <c r="B2476" s="11" t="s">
        <v>6188</v>
      </c>
      <c r="C2476" s="2116">
        <v>42</v>
      </c>
      <c r="D2476" s="2116">
        <v>10293.103673507399</v>
      </c>
      <c r="E2476" s="2117">
        <v>2004.1637540593399</v>
      </c>
      <c r="F2476" s="2118">
        <v>1.66045051125624</v>
      </c>
      <c r="G2476" s="2119">
        <v>0.30932183468970897</v>
      </c>
    </row>
    <row r="2477" spans="1:7" x14ac:dyDescent="0.3">
      <c r="A2477" s="6" t="s">
        <v>1031</v>
      </c>
      <c r="B2477" s="6" t="s">
        <v>6189</v>
      </c>
      <c r="C2477" s="2112">
        <v>15</v>
      </c>
      <c r="D2477" s="2112">
        <v>4059.0725034244801</v>
      </c>
      <c r="E2477" s="2113">
        <v>1455.70622721062</v>
      </c>
      <c r="F2477" s="2114">
        <v>0.65479657325172202</v>
      </c>
      <c r="G2477" s="2115">
        <v>0.231227829986</v>
      </c>
    </row>
    <row r="2478" spans="1:7" x14ac:dyDescent="0.3">
      <c r="A2478" s="11" t="s">
        <v>1040</v>
      </c>
      <c r="B2478" s="11" t="s">
        <v>6190</v>
      </c>
      <c r="C2478" s="2116">
        <v>5</v>
      </c>
      <c r="D2478" s="2116">
        <v>725.58635886737295</v>
      </c>
      <c r="E2478" s="2117">
        <v>424.06672283423001</v>
      </c>
      <c r="F2478" s="2118">
        <v>0.117049267039137</v>
      </c>
      <c r="G2478" s="2119">
        <v>6.9107596513294803E-2</v>
      </c>
    </row>
    <row r="2479" spans="1:7" x14ac:dyDescent="0.3">
      <c r="A2479" s="6" t="s">
        <v>1042</v>
      </c>
      <c r="B2479" s="6" t="s">
        <v>6191</v>
      </c>
      <c r="C2479" s="2112">
        <v>3</v>
      </c>
      <c r="D2479" s="2112">
        <v>287.90465067059802</v>
      </c>
      <c r="E2479" s="2113">
        <v>221.726907434841</v>
      </c>
      <c r="F2479" s="2114">
        <v>4.6443855960516901E-2</v>
      </c>
      <c r="G2479" s="2115">
        <v>3.5747421031005602E-2</v>
      </c>
    </row>
    <row r="2480" spans="1:7" x14ac:dyDescent="0.3">
      <c r="A2480" s="11" t="s">
        <v>1061</v>
      </c>
      <c r="B2480" s="11" t="s">
        <v>6192</v>
      </c>
      <c r="C2480" s="2116">
        <v>2</v>
      </c>
      <c r="D2480" s="2116">
        <v>287.90465067059802</v>
      </c>
      <c r="E2480" s="2117">
        <v>221.726907434841</v>
      </c>
      <c r="F2480" s="2118">
        <v>4.6443855960516901E-2</v>
      </c>
      <c r="G2480" s="2119">
        <v>3.5747421031005602E-2</v>
      </c>
    </row>
    <row r="2481" spans="1:7" x14ac:dyDescent="0.3">
      <c r="A2481" s="6" t="s">
        <v>1063</v>
      </c>
      <c r="B2481" s="6" t="s">
        <v>6193</v>
      </c>
      <c r="C2481" s="2112">
        <v>2</v>
      </c>
      <c r="D2481" s="2112">
        <v>287.90465067059802</v>
      </c>
      <c r="E2481" s="2113">
        <v>221.726907434841</v>
      </c>
      <c r="F2481" s="2114">
        <v>4.6443855960516901E-2</v>
      </c>
      <c r="G2481" s="2115">
        <v>3.5747421031005602E-2</v>
      </c>
    </row>
    <row r="2482" spans="1:7" x14ac:dyDescent="0.3">
      <c r="A2482" s="11" t="s">
        <v>1065</v>
      </c>
      <c r="B2482" s="11" t="s">
        <v>6194</v>
      </c>
      <c r="C2482" s="2116">
        <v>2</v>
      </c>
      <c r="D2482" s="2116">
        <v>287.90465067059802</v>
      </c>
      <c r="E2482" s="2117">
        <v>221.726907434841</v>
      </c>
      <c r="F2482" s="2118">
        <v>4.6443855960516901E-2</v>
      </c>
      <c r="G2482" s="2119">
        <v>3.5747421031005602E-2</v>
      </c>
    </row>
    <row r="2483" spans="1:7" x14ac:dyDescent="0.3">
      <c r="A2483" s="6" t="s">
        <v>1067</v>
      </c>
      <c r="B2483" s="6" t="s">
        <v>6195</v>
      </c>
      <c r="C2483" s="2112">
        <v>2</v>
      </c>
      <c r="D2483" s="2112">
        <v>287.90465067059802</v>
      </c>
      <c r="E2483" s="2113">
        <v>221.726907434841</v>
      </c>
      <c r="F2483" s="2114">
        <v>4.6443855960516901E-2</v>
      </c>
      <c r="G2483" s="2115">
        <v>3.5747421031005602E-2</v>
      </c>
    </row>
    <row r="2484" spans="1:7" x14ac:dyDescent="0.3">
      <c r="A2484" s="11" t="s">
        <v>6354</v>
      </c>
      <c r="B2484" s="11" t="s">
        <v>6355</v>
      </c>
      <c r="C2484" s="2116">
        <v>2179</v>
      </c>
      <c r="D2484" s="2116">
        <v>619898.25072955305</v>
      </c>
      <c r="E2484" s="2117">
        <v>8816.4550720340994</v>
      </c>
      <c r="F2484" s="2118">
        <v>100</v>
      </c>
      <c r="G2484" s="2119">
        <v>1.04822256537333E-13</v>
      </c>
    </row>
    <row r="2485" spans="1:7" x14ac:dyDescent="0.3">
      <c r="A2485" s="6" t="s">
        <v>6354</v>
      </c>
      <c r="B2485" s="6" t="s">
        <v>6356</v>
      </c>
      <c r="C2485" s="2112">
        <v>2179</v>
      </c>
      <c r="D2485" s="2112">
        <v>619898.25072955305</v>
      </c>
      <c r="E2485" s="2113">
        <v>0</v>
      </c>
      <c r="F2485" s="2114">
        <v>100</v>
      </c>
      <c r="G2485" s="2115">
        <v>0</v>
      </c>
    </row>
    <row r="2486" spans="1:7" x14ac:dyDescent="0.3">
      <c r="A2486" s="3449" t="s">
        <v>869</v>
      </c>
      <c r="B2486" s="3450"/>
      <c r="C2486" s="3450"/>
      <c r="D2486" s="3450"/>
      <c r="E2486" s="3450"/>
      <c r="F2486" s="3450"/>
      <c r="G2486" s="3450"/>
    </row>
    <row r="2487" spans="1:7" x14ac:dyDescent="0.3">
      <c r="A2487" s="11" t="s">
        <v>6486</v>
      </c>
      <c r="B2487" s="11"/>
      <c r="C2487" s="2124">
        <v>117</v>
      </c>
      <c r="D2487" s="2124">
        <v>46791.722858171102</v>
      </c>
      <c r="E2487" s="2125">
        <v>10451.237982947099</v>
      </c>
      <c r="F2487" s="2126">
        <v>7.5661047995346102</v>
      </c>
      <c r="G2487" s="2127">
        <v>1.6953638567565199</v>
      </c>
    </row>
    <row r="2488" spans="1:7" x14ac:dyDescent="0.3">
      <c r="A2488" s="6" t="s">
        <v>6472</v>
      </c>
      <c r="B2488" s="6"/>
      <c r="C2488" s="2120">
        <v>138</v>
      </c>
      <c r="D2488" s="2120">
        <v>41529.435965611003</v>
      </c>
      <c r="E2488" s="2121">
        <v>3424.8791804165899</v>
      </c>
      <c r="F2488" s="2122">
        <v>6.7152061430562204</v>
      </c>
      <c r="G2488" s="2123">
        <v>0.58432709812536199</v>
      </c>
    </row>
    <row r="2489" spans="1:7" x14ac:dyDescent="0.3">
      <c r="A2489" s="11" t="s">
        <v>6481</v>
      </c>
      <c r="B2489" s="11"/>
      <c r="C2489" s="2124">
        <v>127</v>
      </c>
      <c r="D2489" s="2124">
        <v>39456.5944521122</v>
      </c>
      <c r="E2489" s="2125">
        <v>6253.1985488094197</v>
      </c>
      <c r="F2489" s="2126">
        <v>6.3800328438918603</v>
      </c>
      <c r="G2489" s="2127">
        <v>0.98614016218775902</v>
      </c>
    </row>
    <row r="2490" spans="1:7" x14ac:dyDescent="0.3">
      <c r="A2490" s="6" t="s">
        <v>6536</v>
      </c>
      <c r="B2490" s="6"/>
      <c r="C2490" s="2120">
        <v>130</v>
      </c>
      <c r="D2490" s="2120">
        <v>38433.022960681599</v>
      </c>
      <c r="E2490" s="2121">
        <v>3826.5724922219001</v>
      </c>
      <c r="F2490" s="2122">
        <v>6.2145238884414704</v>
      </c>
      <c r="G2490" s="2123">
        <v>0.62860463869955796</v>
      </c>
    </row>
    <row r="2491" spans="1:7" x14ac:dyDescent="0.3">
      <c r="A2491" s="11" t="s">
        <v>6537</v>
      </c>
      <c r="B2491" s="11"/>
      <c r="C2491" s="2124">
        <v>129</v>
      </c>
      <c r="D2491" s="2124">
        <v>35919.084136071397</v>
      </c>
      <c r="E2491" s="2125">
        <v>3359.9170222341399</v>
      </c>
      <c r="F2491" s="2126">
        <v>5.8080262549973503</v>
      </c>
      <c r="G2491" s="2127">
        <v>0.57857934048048398</v>
      </c>
    </row>
    <row r="2492" spans="1:7" x14ac:dyDescent="0.3">
      <c r="A2492" s="6" t="s">
        <v>6475</v>
      </c>
      <c r="B2492" s="6"/>
      <c r="C2492" s="2120">
        <v>117</v>
      </c>
      <c r="D2492" s="2120">
        <v>35241.744610068003</v>
      </c>
      <c r="E2492" s="2121">
        <v>5569.7899020712703</v>
      </c>
      <c r="F2492" s="2122">
        <v>5.69850214420231</v>
      </c>
      <c r="G2492" s="2123">
        <v>0.93180085518337696</v>
      </c>
    </row>
    <row r="2493" spans="1:7" x14ac:dyDescent="0.3">
      <c r="A2493" s="11" t="s">
        <v>6538</v>
      </c>
      <c r="B2493" s="11"/>
      <c r="C2493" s="2124">
        <v>107</v>
      </c>
      <c r="D2493" s="2124">
        <v>32735.128617431801</v>
      </c>
      <c r="E2493" s="2125">
        <v>4929.8557875798497</v>
      </c>
      <c r="F2493" s="2126">
        <v>5.29318859441147</v>
      </c>
      <c r="G2493" s="2127">
        <v>0.83222052557903603</v>
      </c>
    </row>
    <row r="2494" spans="1:7" x14ac:dyDescent="0.3">
      <c r="A2494" s="6" t="s">
        <v>6478</v>
      </c>
      <c r="B2494" s="6"/>
      <c r="C2494" s="2120">
        <v>127</v>
      </c>
      <c r="D2494" s="2120">
        <v>32342.537585174901</v>
      </c>
      <c r="E2494" s="2121">
        <v>4705.0672761423602</v>
      </c>
      <c r="F2494" s="2122">
        <v>5.2297076043565198</v>
      </c>
      <c r="G2494" s="2123">
        <v>0.73734559869389904</v>
      </c>
    </row>
    <row r="2495" spans="1:7" x14ac:dyDescent="0.3">
      <c r="A2495" s="11" t="s">
        <v>6539</v>
      </c>
      <c r="B2495" s="11"/>
      <c r="C2495" s="2124">
        <v>103</v>
      </c>
      <c r="D2495" s="2124">
        <v>31305.110723490401</v>
      </c>
      <c r="E2495" s="2125">
        <v>6041.4481405918104</v>
      </c>
      <c r="F2495" s="2126">
        <v>5.0619582701174597</v>
      </c>
      <c r="G2495" s="2127">
        <v>0.93605895319808097</v>
      </c>
    </row>
    <row r="2496" spans="1:7" x14ac:dyDescent="0.3">
      <c r="A2496" s="6" t="s">
        <v>6476</v>
      </c>
      <c r="B2496" s="6"/>
      <c r="C2496" s="2120">
        <v>101</v>
      </c>
      <c r="D2496" s="2120">
        <v>30965.046907937802</v>
      </c>
      <c r="E2496" s="2121">
        <v>4704.61285484577</v>
      </c>
      <c r="F2496" s="2122">
        <v>5.0069707999018398</v>
      </c>
      <c r="G2496" s="2123">
        <v>0.73187074516765305</v>
      </c>
    </row>
    <row r="2497" spans="1:7" x14ac:dyDescent="0.3">
      <c r="A2497" s="11" t="s">
        <v>6540</v>
      </c>
      <c r="B2497" s="11"/>
      <c r="C2497" s="2124">
        <v>85</v>
      </c>
      <c r="D2497" s="2124">
        <v>29937.873778982699</v>
      </c>
      <c r="E2497" s="2125">
        <v>5590.7057666894198</v>
      </c>
      <c r="F2497" s="2126">
        <v>4.8408794686530099</v>
      </c>
      <c r="G2497" s="2127">
        <v>0.87625730835488003</v>
      </c>
    </row>
    <row r="2498" spans="1:7" x14ac:dyDescent="0.3">
      <c r="A2498" s="6" t="s">
        <v>6477</v>
      </c>
      <c r="B2498" s="6"/>
      <c r="C2498" s="2120">
        <v>96</v>
      </c>
      <c r="D2498" s="2120">
        <v>27919.931045966201</v>
      </c>
      <c r="E2498" s="2121">
        <v>3100.7495119679502</v>
      </c>
      <c r="F2498" s="2122">
        <v>4.5145831652717501</v>
      </c>
      <c r="G2498" s="2123">
        <v>0.52664590063090699</v>
      </c>
    </row>
    <row r="2499" spans="1:7" x14ac:dyDescent="0.3">
      <c r="A2499" s="11" t="s">
        <v>6541</v>
      </c>
      <c r="B2499" s="11"/>
      <c r="C2499" s="2124">
        <v>113</v>
      </c>
      <c r="D2499" s="2124">
        <v>25651.799367524902</v>
      </c>
      <c r="E2499" s="2125">
        <v>2452.4564853168699</v>
      </c>
      <c r="F2499" s="2126">
        <v>4.1478319338574403</v>
      </c>
      <c r="G2499" s="2127">
        <v>0.39288039323949803</v>
      </c>
    </row>
    <row r="2500" spans="1:7" x14ac:dyDescent="0.3">
      <c r="A2500" s="6" t="s">
        <v>6473</v>
      </c>
      <c r="B2500" s="6"/>
      <c r="C2500" s="2120">
        <v>76</v>
      </c>
      <c r="D2500" s="2120">
        <v>22945.090850432</v>
      </c>
      <c r="E2500" s="2121">
        <v>2793.5866880151698</v>
      </c>
      <c r="F2500" s="2122">
        <v>3.7101639222693201</v>
      </c>
      <c r="G2500" s="2123">
        <v>0.44966324106899003</v>
      </c>
    </row>
    <row r="2501" spans="1:7" x14ac:dyDescent="0.3">
      <c r="A2501" s="11" t="s">
        <v>3336</v>
      </c>
      <c r="B2501" s="11"/>
      <c r="C2501" s="2124">
        <v>80</v>
      </c>
      <c r="D2501" s="2124">
        <v>21258.408619487</v>
      </c>
      <c r="E2501" s="2125">
        <v>4178.9743807056202</v>
      </c>
      <c r="F2501" s="2126">
        <v>3.43743161528579</v>
      </c>
      <c r="G2501" s="2127">
        <v>0.70358250246451604</v>
      </c>
    </row>
    <row r="2502" spans="1:7" x14ac:dyDescent="0.3">
      <c r="A2502" s="6" t="s">
        <v>6503</v>
      </c>
      <c r="B2502" s="6"/>
      <c r="C2502" s="2120">
        <v>86</v>
      </c>
      <c r="D2502" s="2120">
        <v>19739.771747082599</v>
      </c>
      <c r="E2502" s="2121">
        <v>3710.97428147644</v>
      </c>
      <c r="F2502" s="2122">
        <v>3.1918718233568599</v>
      </c>
      <c r="G2502" s="2123">
        <v>0.57774056469823498</v>
      </c>
    </row>
    <row r="2503" spans="1:7" x14ac:dyDescent="0.3">
      <c r="A2503" s="11" t="s">
        <v>6483</v>
      </c>
      <c r="B2503" s="11"/>
      <c r="C2503" s="2124">
        <v>70</v>
      </c>
      <c r="D2503" s="2124">
        <v>18722.504098097899</v>
      </c>
      <c r="E2503" s="2125">
        <v>3633.7518348149301</v>
      </c>
      <c r="F2503" s="2126">
        <v>3.0273821834963299</v>
      </c>
      <c r="G2503" s="2127">
        <v>0.57572320101446395</v>
      </c>
    </row>
    <row r="2504" spans="1:7" x14ac:dyDescent="0.3">
      <c r="A2504" s="6" t="s">
        <v>6490</v>
      </c>
      <c r="B2504" s="6"/>
      <c r="C2504" s="2120">
        <v>46</v>
      </c>
      <c r="D2504" s="2120">
        <v>11380.099993112501</v>
      </c>
      <c r="E2504" s="2121">
        <v>2374.7875356448999</v>
      </c>
      <c r="F2504" s="2122">
        <v>1.84013376549644</v>
      </c>
      <c r="G2504" s="2123">
        <v>0.39497667619300098</v>
      </c>
    </row>
    <row r="2505" spans="1:7" x14ac:dyDescent="0.3">
      <c r="A2505" s="11" t="s">
        <v>6474</v>
      </c>
      <c r="B2505" s="11"/>
      <c r="C2505" s="2124">
        <v>44</v>
      </c>
      <c r="D2505" s="2124">
        <v>10520.534973375199</v>
      </c>
      <c r="E2505" s="2125">
        <v>3699.03261170013</v>
      </c>
      <c r="F2505" s="2126">
        <v>1.70114424717801</v>
      </c>
      <c r="G2505" s="2127">
        <v>0.60120809575414103</v>
      </c>
    </row>
    <row r="2506" spans="1:7" x14ac:dyDescent="0.3">
      <c r="A2506" s="6" t="s">
        <v>6542</v>
      </c>
      <c r="B2506" s="6"/>
      <c r="C2506" s="2120">
        <v>37</v>
      </c>
      <c r="D2506" s="2120">
        <v>8989.3276533835706</v>
      </c>
      <c r="E2506" s="2121">
        <v>3151.5457663380898</v>
      </c>
      <c r="F2506" s="2122">
        <v>1.4535518452485801</v>
      </c>
      <c r="G2506" s="2123">
        <v>0.49618462457913198</v>
      </c>
    </row>
    <row r="2507" spans="1:7" x14ac:dyDescent="0.3">
      <c r="A2507" s="11" t="s">
        <v>6480</v>
      </c>
      <c r="B2507" s="11"/>
      <c r="C2507" s="2124">
        <v>26</v>
      </c>
      <c r="D2507" s="2124">
        <v>6734.4296943981299</v>
      </c>
      <c r="E2507" s="2125">
        <v>1910.4074503869399</v>
      </c>
      <c r="F2507" s="2126">
        <v>1.0889404732404799</v>
      </c>
      <c r="G2507" s="2127">
        <v>0.303953402709085</v>
      </c>
    </row>
    <row r="2508" spans="1:7" x14ac:dyDescent="0.3">
      <c r="A2508" s="6" t="s">
        <v>6543</v>
      </c>
      <c r="B2508" s="6"/>
      <c r="C2508" s="2120">
        <v>21</v>
      </c>
      <c r="D2508" s="2120">
        <v>6329.7636631393698</v>
      </c>
      <c r="E2508" s="2121">
        <v>1913.43595284905</v>
      </c>
      <c r="F2508" s="2122">
        <v>1.0235069859847099</v>
      </c>
      <c r="G2508" s="2123">
        <v>0.30972369315377901</v>
      </c>
    </row>
    <row r="2509" spans="1:7" x14ac:dyDescent="0.3">
      <c r="A2509" s="11" t="s">
        <v>6544</v>
      </c>
      <c r="B2509" s="11"/>
      <c r="C2509" s="2124">
        <v>23</v>
      </c>
      <c r="D2509" s="2124">
        <v>5902.2963296526304</v>
      </c>
      <c r="E2509" s="2125">
        <v>2641.7348165479202</v>
      </c>
      <c r="F2509" s="2126">
        <v>0.95438658506804397</v>
      </c>
      <c r="G2509" s="2127">
        <v>0.43197846339100998</v>
      </c>
    </row>
    <row r="2510" spans="1:7" x14ac:dyDescent="0.3">
      <c r="A2510" s="6" t="s">
        <v>6493</v>
      </c>
      <c r="B2510" s="6"/>
      <c r="C2510" s="2120">
        <v>15</v>
      </c>
      <c r="D2510" s="2120">
        <v>4218.3386836331401</v>
      </c>
      <c r="E2510" s="2121">
        <v>2592.5321479665699</v>
      </c>
      <c r="F2510" s="2122">
        <v>0.68209483666673199</v>
      </c>
      <c r="G2510" s="2123">
        <v>0.42219033137064899</v>
      </c>
    </row>
    <row r="2511" spans="1:7" x14ac:dyDescent="0.3">
      <c r="A2511" s="11" t="s">
        <v>6500</v>
      </c>
      <c r="B2511" s="11"/>
      <c r="C2511" s="2124">
        <v>13</v>
      </c>
      <c r="D2511" s="2124">
        <v>4036.3765585430301</v>
      </c>
      <c r="E2511" s="2125">
        <v>1805.3659679815801</v>
      </c>
      <c r="F2511" s="2126">
        <v>0.65267201519570295</v>
      </c>
      <c r="G2511" s="2127">
        <v>0.288635206324654</v>
      </c>
    </row>
    <row r="2512" spans="1:7" x14ac:dyDescent="0.3">
      <c r="A2512" s="6" t="s">
        <v>6545</v>
      </c>
      <c r="B2512" s="6"/>
      <c r="C2512" s="2120">
        <v>21</v>
      </c>
      <c r="D2512" s="2120">
        <v>3805.7121023803002</v>
      </c>
      <c r="E2512" s="2121">
        <v>1443.8557790454399</v>
      </c>
      <c r="F2512" s="2122">
        <v>0.61537414834551896</v>
      </c>
      <c r="G2512" s="2123">
        <v>0.22904024472453499</v>
      </c>
    </row>
    <row r="2513" spans="1:7" x14ac:dyDescent="0.3">
      <c r="A2513" s="11" t="s">
        <v>6512</v>
      </c>
      <c r="B2513" s="11"/>
      <c r="C2513" s="2124">
        <v>13</v>
      </c>
      <c r="D2513" s="2124">
        <v>2853.0361019073998</v>
      </c>
      <c r="E2513" s="2125">
        <v>1345.8858820971</v>
      </c>
      <c r="F2513" s="2126">
        <v>0.46132881683619198</v>
      </c>
      <c r="G2513" s="2127">
        <v>0.21408820582784199</v>
      </c>
    </row>
    <row r="2514" spans="1:7" x14ac:dyDescent="0.3">
      <c r="A2514" s="6" t="s">
        <v>6482</v>
      </c>
      <c r="B2514" s="6"/>
      <c r="C2514" s="2120">
        <v>11</v>
      </c>
      <c r="D2514" s="2120">
        <v>2345.7785170237898</v>
      </c>
      <c r="E2514" s="2121">
        <v>1137.69809286393</v>
      </c>
      <c r="F2514" s="2122">
        <v>0.37930653141572601</v>
      </c>
      <c r="G2514" s="2123">
        <v>0.18183576941833199</v>
      </c>
    </row>
    <row r="2515" spans="1:7" x14ac:dyDescent="0.3">
      <c r="A2515" s="11" t="s">
        <v>6504</v>
      </c>
      <c r="B2515" s="11"/>
      <c r="C2515" s="2124">
        <v>5</v>
      </c>
      <c r="D2515" s="2124">
        <v>2297.1394018699302</v>
      </c>
      <c r="E2515" s="2125">
        <v>1413.00823170225</v>
      </c>
      <c r="F2515" s="2126">
        <v>0.37144170789285302</v>
      </c>
      <c r="G2515" s="2127">
        <v>0.22496218441285801</v>
      </c>
    </row>
    <row r="2516" spans="1:7" x14ac:dyDescent="0.3">
      <c r="A2516" s="6" t="s">
        <v>6502</v>
      </c>
      <c r="B2516" s="6"/>
      <c r="C2516" s="2120">
        <v>3</v>
      </c>
      <c r="D2516" s="2120">
        <v>2020.9124410485899</v>
      </c>
      <c r="E2516" s="2121">
        <v>1691.9722447674601</v>
      </c>
      <c r="F2516" s="2122">
        <v>0.32677649775801798</v>
      </c>
      <c r="G2516" s="2123">
        <v>0.27241708809390303</v>
      </c>
    </row>
    <row r="2517" spans="1:7" x14ac:dyDescent="0.3">
      <c r="A2517" s="11" t="s">
        <v>6492</v>
      </c>
      <c r="B2517" s="11"/>
      <c r="C2517" s="2124">
        <v>5</v>
      </c>
      <c r="D2517" s="2124">
        <v>1988.81559716783</v>
      </c>
      <c r="E2517" s="2125">
        <v>1038.1818623558299</v>
      </c>
      <c r="F2517" s="2126">
        <v>0.321586518212443</v>
      </c>
      <c r="G2517" s="2127">
        <v>0.165342327124089</v>
      </c>
    </row>
    <row r="2518" spans="1:7" x14ac:dyDescent="0.3">
      <c r="A2518" s="6" t="s">
        <v>6509</v>
      </c>
      <c r="B2518" s="6"/>
      <c r="C2518" s="2120">
        <v>7</v>
      </c>
      <c r="D2518" s="2120">
        <v>1925.6101043118499</v>
      </c>
      <c r="E2518" s="2121">
        <v>1653.6224779628501</v>
      </c>
      <c r="F2518" s="2122">
        <v>0.311366347771101</v>
      </c>
      <c r="G2518" s="2123">
        <v>0.26697598400483602</v>
      </c>
    </row>
    <row r="2519" spans="1:7" x14ac:dyDescent="0.3">
      <c r="A2519" s="11" t="s">
        <v>6484</v>
      </c>
      <c r="B2519" s="11"/>
      <c r="C2519" s="2124">
        <v>3</v>
      </c>
      <c r="D2519" s="2124">
        <v>1228.7318639725499</v>
      </c>
      <c r="E2519" s="2125">
        <v>906.38854030407401</v>
      </c>
      <c r="F2519" s="2126">
        <v>0.198682875634282</v>
      </c>
      <c r="G2519" s="2127">
        <v>0.14728652243944099</v>
      </c>
    </row>
    <row r="2520" spans="1:7" x14ac:dyDescent="0.3">
      <c r="A2520" s="6" t="s">
        <v>6546</v>
      </c>
      <c r="B2520" s="6"/>
      <c r="C2520" s="2120">
        <v>8</v>
      </c>
      <c r="D2520" s="2120">
        <v>1184.0788961173</v>
      </c>
      <c r="E2520" s="2121">
        <v>571.86840436790101</v>
      </c>
      <c r="F2520" s="2122">
        <v>0.19146260218063901</v>
      </c>
      <c r="G2520" s="2123">
        <v>9.2448519742633295E-2</v>
      </c>
    </row>
    <row r="2521" spans="1:7" x14ac:dyDescent="0.3">
      <c r="A2521" s="11" t="s">
        <v>6487</v>
      </c>
      <c r="B2521" s="11"/>
      <c r="C2521" s="2124">
        <v>4</v>
      </c>
      <c r="D2521" s="2124">
        <v>1019.23849301678</v>
      </c>
      <c r="E2521" s="2125">
        <v>911.96437701920797</v>
      </c>
      <c r="F2521" s="2126">
        <v>0.16480832042152599</v>
      </c>
      <c r="G2521" s="2127">
        <v>0.14800918630552501</v>
      </c>
    </row>
    <row r="2522" spans="1:7" x14ac:dyDescent="0.3">
      <c r="A2522" s="6" t="s">
        <v>6498</v>
      </c>
      <c r="B2522" s="6"/>
      <c r="C2522" s="2120">
        <v>5</v>
      </c>
      <c r="D2522" s="2120">
        <v>849.71440843847404</v>
      </c>
      <c r="E2522" s="2121">
        <v>535.38774211772397</v>
      </c>
      <c r="F2522" s="2122">
        <v>0.13739669905737101</v>
      </c>
      <c r="G2522" s="2123">
        <v>8.7699133950553704E-2</v>
      </c>
    </row>
    <row r="2523" spans="1:7" x14ac:dyDescent="0.3">
      <c r="A2523" s="11" t="s">
        <v>6513</v>
      </c>
      <c r="B2523" s="11"/>
      <c r="C2523" s="2124">
        <v>2</v>
      </c>
      <c r="D2523" s="2124">
        <v>687.00291136909004</v>
      </c>
      <c r="E2523" s="2125">
        <v>489.17344897510998</v>
      </c>
      <c r="F2523" s="2126">
        <v>0.11108665608999301</v>
      </c>
      <c r="G2523" s="2127">
        <v>7.8297284165236E-2</v>
      </c>
    </row>
    <row r="2524" spans="1:7" x14ac:dyDescent="0.3">
      <c r="A2524" s="6" t="s">
        <v>6485</v>
      </c>
      <c r="B2524" s="6"/>
      <c r="C2524" s="2120">
        <v>3</v>
      </c>
      <c r="D2524" s="2120">
        <v>641.910382558273</v>
      </c>
      <c r="E2524" s="2121">
        <v>525.51101343345499</v>
      </c>
      <c r="F2524" s="2122">
        <v>0.10379530672692699</v>
      </c>
      <c r="G2524" s="2123">
        <v>8.4698295163772599E-2</v>
      </c>
    </row>
    <row r="2525" spans="1:7" x14ac:dyDescent="0.3">
      <c r="A2525" s="11" t="s">
        <v>6547</v>
      </c>
      <c r="B2525" s="11"/>
      <c r="C2525" s="2124">
        <v>3</v>
      </c>
      <c r="D2525" s="2124">
        <v>582.33862854466895</v>
      </c>
      <c r="E2525" s="2125">
        <v>447.68102745994997</v>
      </c>
      <c r="F2525" s="2126">
        <v>9.4162702787012498E-2</v>
      </c>
      <c r="G2525" s="2127">
        <v>7.2738534058304605E-2</v>
      </c>
    </row>
    <row r="2526" spans="1:7" x14ac:dyDescent="0.3">
      <c r="A2526" s="6" t="s">
        <v>6501</v>
      </c>
      <c r="B2526" s="6"/>
      <c r="C2526" s="2120">
        <v>1</v>
      </c>
      <c r="D2526" s="2120">
        <v>578.93232496462394</v>
      </c>
      <c r="E2526" s="2121">
        <v>593.02617719022601</v>
      </c>
      <c r="F2526" s="2122">
        <v>9.3611911999851902E-2</v>
      </c>
      <c r="G2526" s="2123">
        <v>9.5754747832671294E-2</v>
      </c>
    </row>
    <row r="2527" spans="1:7" x14ac:dyDescent="0.3">
      <c r="A2527" s="11" t="s">
        <v>6494</v>
      </c>
      <c r="B2527" s="11"/>
      <c r="C2527" s="2124">
        <v>4</v>
      </c>
      <c r="D2527" s="2124">
        <v>499.69837307293102</v>
      </c>
      <c r="E2527" s="2125">
        <v>303.46222657398698</v>
      </c>
      <c r="F2527" s="2126">
        <v>8.0799979737581101E-2</v>
      </c>
      <c r="G2527" s="2127">
        <v>4.8845182444739101E-2</v>
      </c>
    </row>
    <row r="2528" spans="1:7" x14ac:dyDescent="0.3">
      <c r="A2528" s="6" t="s">
        <v>6548</v>
      </c>
      <c r="B2528" s="6"/>
      <c r="C2528" s="2120">
        <v>3</v>
      </c>
      <c r="D2528" s="2120">
        <v>478.92137347437802</v>
      </c>
      <c r="E2528" s="2121">
        <v>349.79115216330501</v>
      </c>
      <c r="F2528" s="2122">
        <v>7.7440390759440203E-2</v>
      </c>
      <c r="G2528" s="2123">
        <v>5.6586674359576997E-2</v>
      </c>
    </row>
    <row r="2529" spans="1:7" x14ac:dyDescent="0.3">
      <c r="A2529" s="11" t="s">
        <v>6549</v>
      </c>
      <c r="B2529" s="11"/>
      <c r="C2529" s="2124">
        <v>2</v>
      </c>
      <c r="D2529" s="2124">
        <v>470.65116248695699</v>
      </c>
      <c r="E2529" s="2125">
        <v>455.47034817933701</v>
      </c>
      <c r="F2529" s="2126">
        <v>7.6103118284247206E-2</v>
      </c>
      <c r="G2529" s="2127">
        <v>7.3746810339631999E-2</v>
      </c>
    </row>
    <row r="2530" spans="1:7" x14ac:dyDescent="0.3">
      <c r="A2530" s="6" t="s">
        <v>6507</v>
      </c>
      <c r="B2530" s="6"/>
      <c r="C2530" s="2120">
        <v>2</v>
      </c>
      <c r="D2530" s="2120">
        <v>440.06755807639797</v>
      </c>
      <c r="E2530" s="2121">
        <v>346.00426807132101</v>
      </c>
      <c r="F2530" s="2122">
        <v>7.1157825784135903E-2</v>
      </c>
      <c r="G2530" s="2123">
        <v>5.5753613590200299E-2</v>
      </c>
    </row>
    <row r="2531" spans="1:7" x14ac:dyDescent="0.3">
      <c r="A2531" s="11" t="s">
        <v>6550</v>
      </c>
      <c r="B2531" s="11"/>
      <c r="C2531" s="2124">
        <v>2</v>
      </c>
      <c r="D2531" s="2124">
        <v>400.862325182299</v>
      </c>
      <c r="E2531" s="2125">
        <v>425.33656860704298</v>
      </c>
      <c r="F2531" s="2126">
        <v>6.4818437476806004E-2</v>
      </c>
      <c r="G2531" s="2127">
        <v>6.8666349860110207E-2</v>
      </c>
    </row>
    <row r="2532" spans="1:7" x14ac:dyDescent="0.3">
      <c r="A2532" s="6" t="s">
        <v>6491</v>
      </c>
      <c r="B2532" s="6"/>
      <c r="C2532" s="2120">
        <v>3</v>
      </c>
      <c r="D2532" s="2120">
        <v>399.70637844313597</v>
      </c>
      <c r="E2532" s="2121">
        <v>373.044813572029</v>
      </c>
      <c r="F2532" s="2122">
        <v>6.4631523774190194E-2</v>
      </c>
      <c r="G2532" s="2123">
        <v>6.0279806313948602E-2</v>
      </c>
    </row>
    <row r="2533" spans="1:7" x14ac:dyDescent="0.3">
      <c r="A2533" s="11" t="s">
        <v>6497</v>
      </c>
      <c r="B2533" s="11"/>
      <c r="C2533" s="2124">
        <v>3</v>
      </c>
      <c r="D2533" s="2124">
        <v>362.68056199022499</v>
      </c>
      <c r="E2533" s="2125">
        <v>259.97297158235398</v>
      </c>
      <c r="F2533" s="2126">
        <v>5.8644541665833501E-2</v>
      </c>
      <c r="G2533" s="2127">
        <v>4.2150833956668E-2</v>
      </c>
    </row>
    <row r="2534" spans="1:7" x14ac:dyDescent="0.3">
      <c r="A2534" s="6" t="s">
        <v>6551</v>
      </c>
      <c r="B2534" s="6"/>
      <c r="C2534" s="2120">
        <v>1</v>
      </c>
      <c r="D2534" s="2120">
        <v>356.16765447544498</v>
      </c>
      <c r="E2534" s="2121">
        <v>358.62135301577598</v>
      </c>
      <c r="F2534" s="2122">
        <v>5.7591420776144001E-2</v>
      </c>
      <c r="G2534" s="2123">
        <v>5.7961931777177199E-2</v>
      </c>
    </row>
    <row r="2535" spans="1:7" x14ac:dyDescent="0.3">
      <c r="A2535" s="11" t="s">
        <v>6479</v>
      </c>
      <c r="B2535" s="11"/>
      <c r="C2535" s="2124">
        <v>1</v>
      </c>
      <c r="D2535" s="2124">
        <v>284.90044531138301</v>
      </c>
      <c r="E2535" s="2125">
        <v>295.99412176584599</v>
      </c>
      <c r="F2535" s="2126">
        <v>4.6067690928879301E-2</v>
      </c>
      <c r="G2535" s="2127">
        <v>4.8010035905283702E-2</v>
      </c>
    </row>
    <row r="2536" spans="1:7" x14ac:dyDescent="0.3">
      <c r="A2536" s="6" t="s">
        <v>6552</v>
      </c>
      <c r="B2536" s="6"/>
      <c r="C2536" s="2120">
        <v>1</v>
      </c>
      <c r="D2536" s="2120">
        <v>267.043750435726</v>
      </c>
      <c r="E2536" s="2121">
        <v>361.80222297035101</v>
      </c>
      <c r="F2536" s="2122">
        <v>4.3180307935693801E-2</v>
      </c>
      <c r="G2536" s="2123">
        <v>5.83454222120895E-2</v>
      </c>
    </row>
    <row r="2537" spans="1:7" x14ac:dyDescent="0.3">
      <c r="A2537" s="11" t="s">
        <v>6553</v>
      </c>
      <c r="B2537" s="11"/>
      <c r="C2537" s="2124">
        <v>3</v>
      </c>
      <c r="D2537" s="2124">
        <v>208.242388972697</v>
      </c>
      <c r="E2537" s="2125">
        <v>123.339453439236</v>
      </c>
      <c r="F2537" s="2126">
        <v>3.3672274548397697E-2</v>
      </c>
      <c r="G2537" s="2127">
        <v>1.9760238073304001E-2</v>
      </c>
    </row>
    <row r="2538" spans="1:7" x14ac:dyDescent="0.3">
      <c r="A2538" s="6" t="s">
        <v>6554</v>
      </c>
      <c r="B2538" s="6"/>
      <c r="C2538" s="2120">
        <v>2</v>
      </c>
      <c r="D2538" s="2120">
        <v>205.33597630149799</v>
      </c>
      <c r="E2538" s="2121">
        <v>215.20967074145599</v>
      </c>
      <c r="F2538" s="2122">
        <v>3.3202314873528697E-2</v>
      </c>
      <c r="G2538" s="2123">
        <v>3.4960948293493103E-2</v>
      </c>
    </row>
    <row r="2539" spans="1:7" x14ac:dyDescent="0.3">
      <c r="A2539" s="11" t="s">
        <v>6555</v>
      </c>
      <c r="B2539" s="11"/>
      <c r="C2539" s="2124">
        <v>1</v>
      </c>
      <c r="D2539" s="2124">
        <v>205.33597630149799</v>
      </c>
      <c r="E2539" s="2125">
        <v>215.20967074145599</v>
      </c>
      <c r="F2539" s="2126">
        <v>3.3202314873528697E-2</v>
      </c>
      <c r="G2539" s="2127">
        <v>3.4960948293493103E-2</v>
      </c>
    </row>
    <row r="2540" spans="1:7" x14ac:dyDescent="0.3">
      <c r="A2540" s="6" t="s">
        <v>6556</v>
      </c>
      <c r="B2540" s="6"/>
      <c r="C2540" s="2120">
        <v>1</v>
      </c>
      <c r="D2540" s="2120">
        <v>201.87471570195899</v>
      </c>
      <c r="E2540" s="2121">
        <v>209.153085656532</v>
      </c>
      <c r="F2540" s="2122">
        <v>3.26426376734823E-2</v>
      </c>
      <c r="G2540" s="2123">
        <v>3.3840302029028699E-2</v>
      </c>
    </row>
    <row r="2541" spans="1:7" x14ac:dyDescent="0.3">
      <c r="A2541" s="11" t="s">
        <v>6506</v>
      </c>
      <c r="B2541" s="11"/>
      <c r="C2541" s="2124">
        <v>5</v>
      </c>
      <c r="D2541" s="2124">
        <v>175.67237851655801</v>
      </c>
      <c r="E2541" s="2125">
        <v>115.93348171533999</v>
      </c>
      <c r="F2541" s="2126">
        <v>2.8405785148551899E-2</v>
      </c>
      <c r="G2541" s="2127">
        <v>1.8753582268270501E-2</v>
      </c>
    </row>
    <row r="2542" spans="1:7" x14ac:dyDescent="0.3">
      <c r="A2542" s="6" t="s">
        <v>6510</v>
      </c>
      <c r="B2542" s="6"/>
      <c r="C2542" s="2120">
        <v>2</v>
      </c>
      <c r="D2542" s="2120">
        <v>113.62996774443199</v>
      </c>
      <c r="E2542" s="2121">
        <v>63.385727745513002</v>
      </c>
      <c r="F2542" s="2122">
        <v>1.8373682177252298E-2</v>
      </c>
      <c r="G2542" s="2123">
        <v>1.01610058097296E-2</v>
      </c>
    </row>
    <row r="2543" spans="1:7" x14ac:dyDescent="0.3">
      <c r="A2543" s="11" t="s">
        <v>6489</v>
      </c>
      <c r="B2543" s="11"/>
      <c r="C2543" s="2124">
        <v>4</v>
      </c>
      <c r="D2543" s="2124">
        <v>96.979940144919894</v>
      </c>
      <c r="E2543" s="2125">
        <v>69.293695539779904</v>
      </c>
      <c r="F2543" s="2126">
        <v>1.5681414270919999E-2</v>
      </c>
      <c r="G2543" s="2127">
        <v>1.12155690277817E-2</v>
      </c>
    </row>
    <row r="2544" spans="1:7" x14ac:dyDescent="0.3">
      <c r="A2544" s="6" t="s">
        <v>6505</v>
      </c>
      <c r="B2544" s="6"/>
      <c r="C2544" s="2120">
        <v>3</v>
      </c>
      <c r="D2544" s="2120">
        <v>80.756544784778796</v>
      </c>
      <c r="E2544" s="2121">
        <v>82.441618647284798</v>
      </c>
      <c r="F2544" s="2122">
        <v>1.30581317328701E-2</v>
      </c>
      <c r="G2544" s="2123">
        <v>1.32900833402735E-2</v>
      </c>
    </row>
    <row r="2545" spans="1:7" x14ac:dyDescent="0.3">
      <c r="A2545" s="11" t="s">
        <v>6511</v>
      </c>
      <c r="B2545" s="11"/>
      <c r="C2545" s="2124">
        <v>1</v>
      </c>
      <c r="D2545" s="2124">
        <v>51.036653667891002</v>
      </c>
      <c r="E2545" s="2125">
        <v>52.587483714029901</v>
      </c>
      <c r="F2545" s="2126">
        <v>8.2524995166187495E-3</v>
      </c>
      <c r="G2545" s="2127">
        <v>8.4956243328046799E-3</v>
      </c>
    </row>
    <row r="2546" spans="1:7" x14ac:dyDescent="0.3">
      <c r="A2546" s="6" t="s">
        <v>6557</v>
      </c>
      <c r="B2546" s="6"/>
      <c r="C2546" s="2120">
        <v>1</v>
      </c>
      <c r="D2546" s="2120">
        <v>48.060431298834402</v>
      </c>
      <c r="E2546" s="2121">
        <v>48.541875428778603</v>
      </c>
      <c r="F2546" s="2122">
        <v>7.77125178784296E-3</v>
      </c>
      <c r="G2546" s="2123">
        <v>7.8769705785534504E-3</v>
      </c>
    </row>
    <row r="2547" spans="1:7" x14ac:dyDescent="0.3">
      <c r="A2547" s="11" t="s">
        <v>6558</v>
      </c>
      <c r="B2547" s="11"/>
      <c r="C2547" s="2124">
        <v>1</v>
      </c>
      <c r="D2547" s="2124">
        <v>42.085561102741003</v>
      </c>
      <c r="E2547" s="2125">
        <v>43.601435009179802</v>
      </c>
      <c r="F2547" s="2126">
        <v>6.8051301897072702E-3</v>
      </c>
      <c r="G2547" s="2127">
        <v>7.0317147628099503E-3</v>
      </c>
    </row>
    <row r="2548" spans="1:7" x14ac:dyDescent="0.3">
      <c r="A2548" s="6" t="s">
        <v>6559</v>
      </c>
      <c r="B2548" s="6"/>
      <c r="C2548" s="2120">
        <v>1</v>
      </c>
      <c r="D2548" s="2120">
        <v>34.097457500538198</v>
      </c>
      <c r="E2548" s="2121">
        <v>34.593269659817999</v>
      </c>
      <c r="F2548" s="2122">
        <v>5.5134737745972601E-3</v>
      </c>
      <c r="G2548" s="2123">
        <v>5.5901025179732004E-3</v>
      </c>
    </row>
    <row r="2549" spans="1:7" x14ac:dyDescent="0.3">
      <c r="A2549" s="11" t="s">
        <v>1015</v>
      </c>
      <c r="B2549" s="11" t="s">
        <v>1016</v>
      </c>
      <c r="C2549" s="2124">
        <v>7</v>
      </c>
      <c r="D2549" s="2124">
        <v>904.56956427676801</v>
      </c>
      <c r="E2549" s="2125">
        <v>593.55805626916197</v>
      </c>
      <c r="F2549" s="2126">
        <v>61.977403341977499</v>
      </c>
      <c r="G2549" s="2127">
        <v>12.9367081403272</v>
      </c>
    </row>
    <row r="2550" spans="1:7" x14ac:dyDescent="0.3">
      <c r="A2550" s="6" t="s">
        <v>1017</v>
      </c>
      <c r="B2550" s="6" t="s">
        <v>1018</v>
      </c>
      <c r="C2550" s="2120">
        <v>3</v>
      </c>
      <c r="D2550" s="2120">
        <v>554.94554203634198</v>
      </c>
      <c r="E2550" s="2121">
        <v>386.559035907527</v>
      </c>
      <c r="F2550" s="2122">
        <v>38.022596658022501</v>
      </c>
      <c r="G2550" s="2123">
        <v>12.9367081403272</v>
      </c>
    </row>
    <row r="2551" spans="1:7" x14ac:dyDescent="0.3">
      <c r="A2551" s="11" t="s">
        <v>6354</v>
      </c>
      <c r="B2551" s="11" t="s">
        <v>6355</v>
      </c>
      <c r="C2551" s="2124">
        <v>2168</v>
      </c>
      <c r="D2551" s="2124">
        <v>618438.73562324001</v>
      </c>
      <c r="E2551" s="2125">
        <v>8512.7067062700808</v>
      </c>
      <c r="F2551" s="2126">
        <v>99.764555698520596</v>
      </c>
      <c r="G2551" s="2127">
        <v>0.14912864972607701</v>
      </c>
    </row>
    <row r="2552" spans="1:7" x14ac:dyDescent="0.3">
      <c r="A2552" s="6" t="s">
        <v>6354</v>
      </c>
      <c r="B2552" s="6" t="s">
        <v>6356</v>
      </c>
      <c r="C2552" s="2120">
        <v>2178</v>
      </c>
      <c r="D2552" s="2120">
        <v>619898.25072955305</v>
      </c>
      <c r="E2552" s="2121">
        <v>0</v>
      </c>
      <c r="F2552" s="2122">
        <v>100</v>
      </c>
      <c r="G2552" s="2123">
        <v>0</v>
      </c>
    </row>
    <row r="2553" spans="1:7" x14ac:dyDescent="0.3">
      <c r="A2553" s="3449" t="s">
        <v>847</v>
      </c>
      <c r="B2553" s="3450"/>
      <c r="C2553" s="3450"/>
      <c r="D2553" s="3450"/>
      <c r="E2553" s="3450"/>
      <c r="F2553" s="3450"/>
      <c r="G2553" s="3450"/>
    </row>
    <row r="2554" spans="1:7" x14ac:dyDescent="0.3">
      <c r="A2554" s="11" t="s">
        <v>6361</v>
      </c>
      <c r="B2554" s="11"/>
      <c r="C2554" s="2132">
        <v>117</v>
      </c>
      <c r="D2554" s="2132">
        <v>46791.722858171102</v>
      </c>
      <c r="E2554" s="2133">
        <v>10451.237982947099</v>
      </c>
      <c r="F2554" s="2134">
        <v>7.5661047995346102</v>
      </c>
      <c r="G2554" s="2135">
        <v>1.6953638567565199</v>
      </c>
    </row>
    <row r="2555" spans="1:7" x14ac:dyDescent="0.3">
      <c r="A2555" s="6" t="s">
        <v>6365</v>
      </c>
      <c r="B2555" s="6"/>
      <c r="C2555" s="2128">
        <v>138</v>
      </c>
      <c r="D2555" s="2128">
        <v>41529.435965611003</v>
      </c>
      <c r="E2555" s="2129">
        <v>3424.8791804165899</v>
      </c>
      <c r="F2555" s="2130">
        <v>6.7152061430562204</v>
      </c>
      <c r="G2555" s="2131">
        <v>0.58432709812536299</v>
      </c>
    </row>
    <row r="2556" spans="1:7" x14ac:dyDescent="0.3">
      <c r="A2556" s="11" t="s">
        <v>6358</v>
      </c>
      <c r="B2556" s="11"/>
      <c r="C2556" s="2132">
        <v>127</v>
      </c>
      <c r="D2556" s="2132">
        <v>39456.5944521122</v>
      </c>
      <c r="E2556" s="2133">
        <v>6253.1985488094197</v>
      </c>
      <c r="F2556" s="2134">
        <v>6.3800328438918603</v>
      </c>
      <c r="G2556" s="2135">
        <v>0.98614016218776002</v>
      </c>
    </row>
    <row r="2557" spans="1:7" x14ac:dyDescent="0.3">
      <c r="A2557" s="6" t="s">
        <v>1063</v>
      </c>
      <c r="B2557" s="6"/>
      <c r="C2557" s="2128">
        <v>130</v>
      </c>
      <c r="D2557" s="2128">
        <v>38433.022960681599</v>
      </c>
      <c r="E2557" s="2129">
        <v>3826.5724922219001</v>
      </c>
      <c r="F2557" s="2130">
        <v>6.2145238884414704</v>
      </c>
      <c r="G2557" s="2131">
        <v>0.62860463869955696</v>
      </c>
    </row>
    <row r="2558" spans="1:7" x14ac:dyDescent="0.3">
      <c r="A2558" s="11" t="s">
        <v>6359</v>
      </c>
      <c r="B2558" s="11"/>
      <c r="C2558" s="2132">
        <v>129</v>
      </c>
      <c r="D2558" s="2132">
        <v>35919.084136071397</v>
      </c>
      <c r="E2558" s="2133">
        <v>3359.9170222341399</v>
      </c>
      <c r="F2558" s="2134">
        <v>5.8080262549973503</v>
      </c>
      <c r="G2558" s="2135">
        <v>0.57857934048048398</v>
      </c>
    </row>
    <row r="2559" spans="1:7" x14ac:dyDescent="0.3">
      <c r="A2559" s="6" t="s">
        <v>6360</v>
      </c>
      <c r="B2559" s="6"/>
      <c r="C2559" s="2128">
        <v>117</v>
      </c>
      <c r="D2559" s="2128">
        <v>35241.744610068003</v>
      </c>
      <c r="E2559" s="2129">
        <v>5569.7899020712703</v>
      </c>
      <c r="F2559" s="2130">
        <v>5.69850214420231</v>
      </c>
      <c r="G2559" s="2131">
        <v>0.93180085518337696</v>
      </c>
    </row>
    <row r="2560" spans="1:7" x14ac:dyDescent="0.3">
      <c r="A2560" s="11" t="s">
        <v>6362</v>
      </c>
      <c r="B2560" s="11"/>
      <c r="C2560" s="2132">
        <v>107</v>
      </c>
      <c r="D2560" s="2132">
        <v>32735.128617431801</v>
      </c>
      <c r="E2560" s="2133">
        <v>4929.8557875798497</v>
      </c>
      <c r="F2560" s="2134">
        <v>5.29318859441147</v>
      </c>
      <c r="G2560" s="2135">
        <v>0.83222052557903603</v>
      </c>
    </row>
    <row r="2561" spans="1:7" x14ac:dyDescent="0.3">
      <c r="A2561" s="6" t="s">
        <v>6357</v>
      </c>
      <c r="B2561" s="6"/>
      <c r="C2561" s="2128">
        <v>111</v>
      </c>
      <c r="D2561" s="2128">
        <v>32489.1896196077</v>
      </c>
      <c r="E2561" s="2129">
        <v>5670.7429543887001</v>
      </c>
      <c r="F2561" s="2130">
        <v>5.2534208722980997</v>
      </c>
      <c r="G2561" s="2131">
        <v>0.87199060177254495</v>
      </c>
    </row>
    <row r="2562" spans="1:7" x14ac:dyDescent="0.3">
      <c r="A2562" s="11" t="s">
        <v>1065</v>
      </c>
      <c r="B2562" s="11"/>
      <c r="C2562" s="2132">
        <v>127</v>
      </c>
      <c r="D2562" s="2132">
        <v>32342.537585174901</v>
      </c>
      <c r="E2562" s="2133">
        <v>4705.0672761423602</v>
      </c>
      <c r="F2562" s="2134">
        <v>5.2297076043565198</v>
      </c>
      <c r="G2562" s="2135">
        <v>0.73734559869389904</v>
      </c>
    </row>
    <row r="2563" spans="1:7" x14ac:dyDescent="0.3">
      <c r="A2563" s="6" t="s">
        <v>6363</v>
      </c>
      <c r="B2563" s="6"/>
      <c r="C2563" s="2128">
        <v>101</v>
      </c>
      <c r="D2563" s="2128">
        <v>30965.046907937802</v>
      </c>
      <c r="E2563" s="2129">
        <v>4704.61285484577</v>
      </c>
      <c r="F2563" s="2130">
        <v>5.0069707999018398</v>
      </c>
      <c r="G2563" s="2131">
        <v>0.73187074516765305</v>
      </c>
    </row>
    <row r="2564" spans="1:7" x14ac:dyDescent="0.3">
      <c r="A2564" s="11" t="s">
        <v>1069</v>
      </c>
      <c r="B2564" s="11"/>
      <c r="C2564" s="2132">
        <v>85</v>
      </c>
      <c r="D2564" s="2132">
        <v>29937.873778982699</v>
      </c>
      <c r="E2564" s="2133">
        <v>5590.7057666894198</v>
      </c>
      <c r="F2564" s="2134">
        <v>4.8408794686530099</v>
      </c>
      <c r="G2564" s="2135">
        <v>0.87625730835488003</v>
      </c>
    </row>
    <row r="2565" spans="1:7" x14ac:dyDescent="0.3">
      <c r="A2565" s="6" t="s">
        <v>6364</v>
      </c>
      <c r="B2565" s="6"/>
      <c r="C2565" s="2128">
        <v>96</v>
      </c>
      <c r="D2565" s="2128">
        <v>27919.931045966201</v>
      </c>
      <c r="E2565" s="2129">
        <v>3100.7495119679502</v>
      </c>
      <c r="F2565" s="2130">
        <v>4.5145831652717501</v>
      </c>
      <c r="G2565" s="2131">
        <v>0.52664590063090799</v>
      </c>
    </row>
    <row r="2566" spans="1:7" x14ac:dyDescent="0.3">
      <c r="A2566" s="11" t="s">
        <v>1067</v>
      </c>
      <c r="B2566" s="11"/>
      <c r="C2566" s="2132">
        <v>113</v>
      </c>
      <c r="D2566" s="2132">
        <v>25651.799367524902</v>
      </c>
      <c r="E2566" s="2133">
        <v>2452.4564853168699</v>
      </c>
      <c r="F2566" s="2134">
        <v>4.1478319338574403</v>
      </c>
      <c r="G2566" s="2135">
        <v>0.39288039323949703</v>
      </c>
    </row>
    <row r="2567" spans="1:7" x14ac:dyDescent="0.3">
      <c r="A2567" s="6" t="s">
        <v>1073</v>
      </c>
      <c r="B2567" s="6"/>
      <c r="C2567" s="2128">
        <v>76</v>
      </c>
      <c r="D2567" s="2128">
        <v>22945.090850432</v>
      </c>
      <c r="E2567" s="2129">
        <v>2793.5866880151698</v>
      </c>
      <c r="F2567" s="2130">
        <v>3.7101639222693201</v>
      </c>
      <c r="G2567" s="2131">
        <v>0.44966324106899003</v>
      </c>
    </row>
    <row r="2568" spans="1:7" x14ac:dyDescent="0.3">
      <c r="A2568" s="11" t="s">
        <v>1075</v>
      </c>
      <c r="B2568" s="11"/>
      <c r="C2568" s="2132">
        <v>80</v>
      </c>
      <c r="D2568" s="2132">
        <v>21258.408619487</v>
      </c>
      <c r="E2568" s="2133">
        <v>4178.9743807056202</v>
      </c>
      <c r="F2568" s="2134">
        <v>3.43743161528579</v>
      </c>
      <c r="G2568" s="2135">
        <v>0.70358250246451604</v>
      </c>
    </row>
    <row r="2569" spans="1:7" x14ac:dyDescent="0.3">
      <c r="A2569" s="6" t="s">
        <v>1071</v>
      </c>
      <c r="B2569" s="6"/>
      <c r="C2569" s="2128">
        <v>86</v>
      </c>
      <c r="D2569" s="2128">
        <v>19739.771747082599</v>
      </c>
      <c r="E2569" s="2129">
        <v>3710.97428147644</v>
      </c>
      <c r="F2569" s="2130">
        <v>3.1918718233568599</v>
      </c>
      <c r="G2569" s="2131">
        <v>0.57774056469823498</v>
      </c>
    </row>
    <row r="2570" spans="1:7" x14ac:dyDescent="0.3">
      <c r="A2570" s="11" t="s">
        <v>1077</v>
      </c>
      <c r="B2570" s="11"/>
      <c r="C2570" s="2132">
        <v>70</v>
      </c>
      <c r="D2570" s="2132">
        <v>18722.504098097899</v>
      </c>
      <c r="E2570" s="2133">
        <v>3633.7518348149301</v>
      </c>
      <c r="F2570" s="2134">
        <v>3.0273821834963299</v>
      </c>
      <c r="G2570" s="2135">
        <v>0.57572320101446395</v>
      </c>
    </row>
    <row r="2571" spans="1:7" x14ac:dyDescent="0.3">
      <c r="A2571" s="6" t="s">
        <v>1079</v>
      </c>
      <c r="B2571" s="6"/>
      <c r="C2571" s="2128">
        <v>46</v>
      </c>
      <c r="D2571" s="2128">
        <v>11380.099993112501</v>
      </c>
      <c r="E2571" s="2129">
        <v>2374.7875356448999</v>
      </c>
      <c r="F2571" s="2130">
        <v>1.84013376549644</v>
      </c>
      <c r="G2571" s="2131">
        <v>0.39497667619300098</v>
      </c>
    </row>
    <row r="2572" spans="1:7" x14ac:dyDescent="0.3">
      <c r="A2572" s="11" t="s">
        <v>1081</v>
      </c>
      <c r="B2572" s="11"/>
      <c r="C2572" s="2132">
        <v>44</v>
      </c>
      <c r="D2572" s="2132">
        <v>10520.534973375199</v>
      </c>
      <c r="E2572" s="2133">
        <v>3699.03261170013</v>
      </c>
      <c r="F2572" s="2134">
        <v>1.70114424717801</v>
      </c>
      <c r="G2572" s="2135">
        <v>0.60120809575414103</v>
      </c>
    </row>
    <row r="2573" spans="1:7" x14ac:dyDescent="0.3">
      <c r="A2573" s="6" t="s">
        <v>1222</v>
      </c>
      <c r="B2573" s="6"/>
      <c r="C2573" s="2128">
        <v>37</v>
      </c>
      <c r="D2573" s="2128">
        <v>8989.3276533835706</v>
      </c>
      <c r="E2573" s="2129">
        <v>3151.5457663380898</v>
      </c>
      <c r="F2573" s="2130">
        <v>1.4535518452485801</v>
      </c>
      <c r="G2573" s="2131">
        <v>0.49618462457913198</v>
      </c>
    </row>
    <row r="2574" spans="1:7" x14ac:dyDescent="0.3">
      <c r="A2574" s="11" t="s">
        <v>1114</v>
      </c>
      <c r="B2574" s="11"/>
      <c r="C2574" s="2132">
        <v>26</v>
      </c>
      <c r="D2574" s="2132">
        <v>6734.4296943981299</v>
      </c>
      <c r="E2574" s="2133">
        <v>1910.4074503869399</v>
      </c>
      <c r="F2574" s="2134">
        <v>1.0889404732404799</v>
      </c>
      <c r="G2574" s="2135">
        <v>0.303953402709085</v>
      </c>
    </row>
    <row r="2575" spans="1:7" x14ac:dyDescent="0.3">
      <c r="A2575" s="6" t="s">
        <v>1118</v>
      </c>
      <c r="B2575" s="6"/>
      <c r="C2575" s="2128">
        <v>21</v>
      </c>
      <c r="D2575" s="2128">
        <v>6329.7636631393698</v>
      </c>
      <c r="E2575" s="2129">
        <v>1913.43595284905</v>
      </c>
      <c r="F2575" s="2130">
        <v>1.0235069859847099</v>
      </c>
      <c r="G2575" s="2131">
        <v>0.30972369315377901</v>
      </c>
    </row>
    <row r="2576" spans="1:7" x14ac:dyDescent="0.3">
      <c r="A2576" s="11" t="s">
        <v>1116</v>
      </c>
      <c r="B2576" s="11"/>
      <c r="C2576" s="2132">
        <v>23</v>
      </c>
      <c r="D2576" s="2132">
        <v>5902.2963296526304</v>
      </c>
      <c r="E2576" s="2133">
        <v>2641.7348165479202</v>
      </c>
      <c r="F2576" s="2134">
        <v>0.95438658506804397</v>
      </c>
      <c r="G2576" s="2135">
        <v>0.43197846339100998</v>
      </c>
    </row>
    <row r="2577" spans="1:7" x14ac:dyDescent="0.3">
      <c r="A2577" s="6" t="s">
        <v>3099</v>
      </c>
      <c r="B2577" s="6"/>
      <c r="C2577" s="2128">
        <v>15</v>
      </c>
      <c r="D2577" s="2128">
        <v>4218.3386836331401</v>
      </c>
      <c r="E2577" s="2129">
        <v>2592.5321479665699</v>
      </c>
      <c r="F2577" s="2130">
        <v>0.68209483666673199</v>
      </c>
      <c r="G2577" s="2131">
        <v>0.42219033137064899</v>
      </c>
    </row>
    <row r="2578" spans="1:7" x14ac:dyDescent="0.3">
      <c r="A2578" s="11" t="s">
        <v>3103</v>
      </c>
      <c r="B2578" s="11"/>
      <c r="C2578" s="2132">
        <v>13</v>
      </c>
      <c r="D2578" s="2132">
        <v>4036.3765585430301</v>
      </c>
      <c r="E2578" s="2133">
        <v>1805.3659679815801</v>
      </c>
      <c r="F2578" s="2134">
        <v>0.65267201519570295</v>
      </c>
      <c r="G2578" s="2135">
        <v>0.288635206324654</v>
      </c>
    </row>
    <row r="2579" spans="1:7" x14ac:dyDescent="0.3">
      <c r="A2579" s="6" t="s">
        <v>1120</v>
      </c>
      <c r="B2579" s="6"/>
      <c r="C2579" s="2128">
        <v>21</v>
      </c>
      <c r="D2579" s="2128">
        <v>3805.7121023803002</v>
      </c>
      <c r="E2579" s="2129">
        <v>1443.8557790454399</v>
      </c>
      <c r="F2579" s="2130">
        <v>0.61537414834551896</v>
      </c>
      <c r="G2579" s="2131">
        <v>0.22904024472453499</v>
      </c>
    </row>
    <row r="2580" spans="1:7" x14ac:dyDescent="0.3">
      <c r="A2580" s="11" t="s">
        <v>3101</v>
      </c>
      <c r="B2580" s="11"/>
      <c r="C2580" s="2132">
        <v>13</v>
      </c>
      <c r="D2580" s="2132">
        <v>2853.0361019073998</v>
      </c>
      <c r="E2580" s="2133">
        <v>1345.8858820971</v>
      </c>
      <c r="F2580" s="2134">
        <v>0.46132881683619198</v>
      </c>
      <c r="G2580" s="2135">
        <v>0.21408820582784199</v>
      </c>
    </row>
    <row r="2581" spans="1:7" x14ac:dyDescent="0.3">
      <c r="A2581" s="6" t="s">
        <v>3107</v>
      </c>
      <c r="B2581" s="6"/>
      <c r="C2581" s="2128">
        <v>11</v>
      </c>
      <c r="D2581" s="2128">
        <v>2345.7785170237898</v>
      </c>
      <c r="E2581" s="2129">
        <v>1137.69809286393</v>
      </c>
      <c r="F2581" s="2130">
        <v>0.37930653141572601</v>
      </c>
      <c r="G2581" s="2131">
        <v>0.18183576941833199</v>
      </c>
    </row>
    <row r="2582" spans="1:7" x14ac:dyDescent="0.3">
      <c r="A2582" s="11" t="s">
        <v>1128</v>
      </c>
      <c r="B2582" s="11"/>
      <c r="C2582" s="2132">
        <v>5</v>
      </c>
      <c r="D2582" s="2132">
        <v>2297.1394018699302</v>
      </c>
      <c r="E2582" s="2133">
        <v>1413.00823170225</v>
      </c>
      <c r="F2582" s="2134">
        <v>0.37144170789285302</v>
      </c>
      <c r="G2582" s="2135">
        <v>0.22496218441285801</v>
      </c>
    </row>
    <row r="2583" spans="1:7" x14ac:dyDescent="0.3">
      <c r="A2583" s="6" t="s">
        <v>1134</v>
      </c>
      <c r="B2583" s="6"/>
      <c r="C2583" s="2128">
        <v>3</v>
      </c>
      <c r="D2583" s="2128">
        <v>2020.9124410485899</v>
      </c>
      <c r="E2583" s="2129">
        <v>1691.9722447674601</v>
      </c>
      <c r="F2583" s="2130">
        <v>0.32677649775801798</v>
      </c>
      <c r="G2583" s="2131">
        <v>0.27241708809390303</v>
      </c>
    </row>
    <row r="2584" spans="1:7" x14ac:dyDescent="0.3">
      <c r="A2584" s="11" t="s">
        <v>1122</v>
      </c>
      <c r="B2584" s="11"/>
      <c r="C2584" s="2132">
        <v>5</v>
      </c>
      <c r="D2584" s="2132">
        <v>1988.81559716783</v>
      </c>
      <c r="E2584" s="2133">
        <v>1038.1818623558299</v>
      </c>
      <c r="F2584" s="2134">
        <v>0.321586518212443</v>
      </c>
      <c r="G2584" s="2135">
        <v>0.165342327124089</v>
      </c>
    </row>
    <row r="2585" spans="1:7" x14ac:dyDescent="0.3">
      <c r="A2585" s="6" t="s">
        <v>1226</v>
      </c>
      <c r="B2585" s="6"/>
      <c r="C2585" s="2128">
        <v>7</v>
      </c>
      <c r="D2585" s="2128">
        <v>1925.6101043118499</v>
      </c>
      <c r="E2585" s="2129">
        <v>1653.6224779628501</v>
      </c>
      <c r="F2585" s="2130">
        <v>0.311366347771101</v>
      </c>
      <c r="G2585" s="2131">
        <v>0.26697598400483602</v>
      </c>
    </row>
    <row r="2586" spans="1:7" x14ac:dyDescent="0.3">
      <c r="A2586" s="11" t="s">
        <v>3105</v>
      </c>
      <c r="B2586" s="11"/>
      <c r="C2586" s="2132">
        <v>3</v>
      </c>
      <c r="D2586" s="2132">
        <v>1228.7318639725499</v>
      </c>
      <c r="E2586" s="2133">
        <v>906.38854030407401</v>
      </c>
      <c r="F2586" s="2134">
        <v>0.198682875634282</v>
      </c>
      <c r="G2586" s="2135">
        <v>0.14728652243944099</v>
      </c>
    </row>
    <row r="2587" spans="1:7" x14ac:dyDescent="0.3">
      <c r="A2587" s="6" t="s">
        <v>1124</v>
      </c>
      <c r="B2587" s="6"/>
      <c r="C2587" s="2128">
        <v>4</v>
      </c>
      <c r="D2587" s="2128">
        <v>1019.23849301678</v>
      </c>
      <c r="E2587" s="2129">
        <v>911.96437701920797</v>
      </c>
      <c r="F2587" s="2130">
        <v>0.16480832042152599</v>
      </c>
      <c r="G2587" s="2131">
        <v>0.14800918630552501</v>
      </c>
    </row>
    <row r="2588" spans="1:7" x14ac:dyDescent="0.3">
      <c r="A2588" s="11" t="s">
        <v>3120</v>
      </c>
      <c r="B2588" s="11"/>
      <c r="C2588" s="2132">
        <v>5</v>
      </c>
      <c r="D2588" s="2132">
        <v>849.71440843847404</v>
      </c>
      <c r="E2588" s="2133">
        <v>535.38774211772397</v>
      </c>
      <c r="F2588" s="2134">
        <v>0.13739669905737101</v>
      </c>
      <c r="G2588" s="2135">
        <v>8.7699133950553704E-2</v>
      </c>
    </row>
    <row r="2589" spans="1:7" x14ac:dyDescent="0.3">
      <c r="A2589" s="6" t="s">
        <v>1132</v>
      </c>
      <c r="B2589" s="6"/>
      <c r="C2589" s="2128">
        <v>2</v>
      </c>
      <c r="D2589" s="2128">
        <v>687.00291136909004</v>
      </c>
      <c r="E2589" s="2129">
        <v>489.17344897510998</v>
      </c>
      <c r="F2589" s="2130">
        <v>0.11108665608999301</v>
      </c>
      <c r="G2589" s="2131">
        <v>7.8297284165236E-2</v>
      </c>
    </row>
    <row r="2590" spans="1:7" x14ac:dyDescent="0.3">
      <c r="A2590" s="11" t="s">
        <v>1140</v>
      </c>
      <c r="B2590" s="11"/>
      <c r="C2590" s="2132">
        <v>3</v>
      </c>
      <c r="D2590" s="2132">
        <v>641.910382558273</v>
      </c>
      <c r="E2590" s="2133">
        <v>525.51101343345499</v>
      </c>
      <c r="F2590" s="2134">
        <v>0.10379530672692699</v>
      </c>
      <c r="G2590" s="2135">
        <v>8.4698295163772599E-2</v>
      </c>
    </row>
    <row r="2591" spans="1:7" x14ac:dyDescent="0.3">
      <c r="A2591" s="6" t="s">
        <v>3116</v>
      </c>
      <c r="B2591" s="6"/>
      <c r="C2591" s="2128">
        <v>3</v>
      </c>
      <c r="D2591" s="2128">
        <v>582.33862854466895</v>
      </c>
      <c r="E2591" s="2129">
        <v>447.68102745994997</v>
      </c>
      <c r="F2591" s="2130">
        <v>9.4162702787012498E-2</v>
      </c>
      <c r="G2591" s="2131">
        <v>7.2738534058304605E-2</v>
      </c>
    </row>
    <row r="2592" spans="1:7" x14ac:dyDescent="0.3">
      <c r="A2592" s="11" t="s">
        <v>1150</v>
      </c>
      <c r="B2592" s="11"/>
      <c r="C2592" s="2132">
        <v>1</v>
      </c>
      <c r="D2592" s="2132">
        <v>578.93232496462394</v>
      </c>
      <c r="E2592" s="2133">
        <v>593.02617719022601</v>
      </c>
      <c r="F2592" s="2134">
        <v>9.3611911999851902E-2</v>
      </c>
      <c r="G2592" s="2135">
        <v>9.5754747832671294E-2</v>
      </c>
    </row>
    <row r="2593" spans="1:7" x14ac:dyDescent="0.3">
      <c r="A2593" s="6" t="s">
        <v>3118</v>
      </c>
      <c r="B2593" s="6"/>
      <c r="C2593" s="2128">
        <v>4</v>
      </c>
      <c r="D2593" s="2128">
        <v>499.69837307293102</v>
      </c>
      <c r="E2593" s="2129">
        <v>303.46222657398698</v>
      </c>
      <c r="F2593" s="2130">
        <v>8.0799979737581101E-2</v>
      </c>
      <c r="G2593" s="2131">
        <v>4.8845182444739101E-2</v>
      </c>
    </row>
    <row r="2594" spans="1:7" x14ac:dyDescent="0.3">
      <c r="A2594" s="11" t="s">
        <v>3134</v>
      </c>
      <c r="B2594" s="11"/>
      <c r="C2594" s="2132">
        <v>3</v>
      </c>
      <c r="D2594" s="2132">
        <v>478.92137347437802</v>
      </c>
      <c r="E2594" s="2133">
        <v>349.79115216330501</v>
      </c>
      <c r="F2594" s="2134">
        <v>7.7440390759440203E-2</v>
      </c>
      <c r="G2594" s="2135">
        <v>5.6586674359576997E-2</v>
      </c>
    </row>
    <row r="2595" spans="1:7" x14ac:dyDescent="0.3">
      <c r="A2595" s="6" t="s">
        <v>1136</v>
      </c>
      <c r="B2595" s="6"/>
      <c r="C2595" s="2128">
        <v>2</v>
      </c>
      <c r="D2595" s="2128">
        <v>470.65116248695699</v>
      </c>
      <c r="E2595" s="2129">
        <v>455.47034817933701</v>
      </c>
      <c r="F2595" s="2130">
        <v>7.6103118284247206E-2</v>
      </c>
      <c r="G2595" s="2131">
        <v>7.3746810339631999E-2</v>
      </c>
    </row>
    <row r="2596" spans="1:7" x14ac:dyDescent="0.3">
      <c r="A2596" s="11" t="s">
        <v>3261</v>
      </c>
      <c r="B2596" s="11"/>
      <c r="C2596" s="2132">
        <v>2</v>
      </c>
      <c r="D2596" s="2132">
        <v>440.06755807639797</v>
      </c>
      <c r="E2596" s="2133">
        <v>346.00426807132101</v>
      </c>
      <c r="F2596" s="2134">
        <v>7.1157825784135903E-2</v>
      </c>
      <c r="G2596" s="2135">
        <v>5.5753613590200299E-2</v>
      </c>
    </row>
    <row r="2597" spans="1:7" x14ac:dyDescent="0.3">
      <c r="A2597" s="6" t="s">
        <v>1126</v>
      </c>
      <c r="B2597" s="6"/>
      <c r="C2597" s="2128">
        <v>2</v>
      </c>
      <c r="D2597" s="2128">
        <v>400.862325182299</v>
      </c>
      <c r="E2597" s="2129">
        <v>425.33656860704298</v>
      </c>
      <c r="F2597" s="2130">
        <v>6.4818437476806004E-2</v>
      </c>
      <c r="G2597" s="2131">
        <v>6.8666349860110207E-2</v>
      </c>
    </row>
    <row r="2598" spans="1:7" x14ac:dyDescent="0.3">
      <c r="A2598" s="11" t="s">
        <v>3132</v>
      </c>
      <c r="B2598" s="11"/>
      <c r="C2598" s="2132">
        <v>3</v>
      </c>
      <c r="D2598" s="2132">
        <v>399.70637844313597</v>
      </c>
      <c r="E2598" s="2133">
        <v>373.044813572029</v>
      </c>
      <c r="F2598" s="2134">
        <v>6.4631523774190194E-2</v>
      </c>
      <c r="G2598" s="2135">
        <v>6.0279806313948602E-2</v>
      </c>
    </row>
    <row r="2599" spans="1:7" x14ac:dyDescent="0.3">
      <c r="A2599" s="6" t="s">
        <v>1130</v>
      </c>
      <c r="B2599" s="6"/>
      <c r="C2599" s="2128">
        <v>3</v>
      </c>
      <c r="D2599" s="2128">
        <v>362.68056199022499</v>
      </c>
      <c r="E2599" s="2129">
        <v>259.97297158235398</v>
      </c>
      <c r="F2599" s="2130">
        <v>5.8644541665833501E-2</v>
      </c>
      <c r="G2599" s="2131">
        <v>4.2150833956668E-2</v>
      </c>
    </row>
    <row r="2600" spans="1:7" x14ac:dyDescent="0.3">
      <c r="A2600" s="11" t="s">
        <v>1142</v>
      </c>
      <c r="B2600" s="11"/>
      <c r="C2600" s="2132">
        <v>1</v>
      </c>
      <c r="D2600" s="2132">
        <v>356.16765447544498</v>
      </c>
      <c r="E2600" s="2133">
        <v>358.62135301577598</v>
      </c>
      <c r="F2600" s="2134">
        <v>5.7591420776144001E-2</v>
      </c>
      <c r="G2600" s="2135">
        <v>5.7961931777177199E-2</v>
      </c>
    </row>
    <row r="2601" spans="1:7" x14ac:dyDescent="0.3">
      <c r="A2601" s="6" t="s">
        <v>3142</v>
      </c>
      <c r="B2601" s="6"/>
      <c r="C2601" s="2128">
        <v>1</v>
      </c>
      <c r="D2601" s="2128">
        <v>284.90044531138301</v>
      </c>
      <c r="E2601" s="2129">
        <v>295.99412176584599</v>
      </c>
      <c r="F2601" s="2130">
        <v>4.6067690928879301E-2</v>
      </c>
      <c r="G2601" s="2131">
        <v>4.8010035905283702E-2</v>
      </c>
    </row>
    <row r="2602" spans="1:7" x14ac:dyDescent="0.3">
      <c r="A2602" s="11" t="s">
        <v>1224</v>
      </c>
      <c r="B2602" s="11"/>
      <c r="C2602" s="2132">
        <v>1</v>
      </c>
      <c r="D2602" s="2132">
        <v>267.043750435726</v>
      </c>
      <c r="E2602" s="2133">
        <v>361.80222297035101</v>
      </c>
      <c r="F2602" s="2134">
        <v>4.3180307935693801E-2</v>
      </c>
      <c r="G2602" s="2135">
        <v>5.83454222120895E-2</v>
      </c>
    </row>
    <row r="2603" spans="1:7" x14ac:dyDescent="0.3">
      <c r="A2603" s="6" t="s">
        <v>1230</v>
      </c>
      <c r="B2603" s="6"/>
      <c r="C2603" s="2128">
        <v>3</v>
      </c>
      <c r="D2603" s="2128">
        <v>208.242388972697</v>
      </c>
      <c r="E2603" s="2129">
        <v>123.339453439236</v>
      </c>
      <c r="F2603" s="2130">
        <v>3.3672274548397697E-2</v>
      </c>
      <c r="G2603" s="2131">
        <v>1.9760238073304001E-2</v>
      </c>
    </row>
    <row r="2604" spans="1:7" x14ac:dyDescent="0.3">
      <c r="A2604" s="11" t="s">
        <v>3250</v>
      </c>
      <c r="B2604" s="11"/>
      <c r="C2604" s="2132">
        <v>1</v>
      </c>
      <c r="D2604" s="2132">
        <v>205.33597630149799</v>
      </c>
      <c r="E2604" s="2133">
        <v>215.20967074145599</v>
      </c>
      <c r="F2604" s="2134">
        <v>3.3202314873528697E-2</v>
      </c>
      <c r="G2604" s="2135">
        <v>3.4960948293493103E-2</v>
      </c>
    </row>
    <row r="2605" spans="1:7" x14ac:dyDescent="0.3">
      <c r="A2605" s="6" t="s">
        <v>1148</v>
      </c>
      <c r="B2605" s="6"/>
      <c r="C2605" s="2128">
        <v>2</v>
      </c>
      <c r="D2605" s="2128">
        <v>205.33597630149799</v>
      </c>
      <c r="E2605" s="2129">
        <v>215.20967074145599</v>
      </c>
      <c r="F2605" s="2130">
        <v>3.3202314873528697E-2</v>
      </c>
      <c r="G2605" s="2131">
        <v>3.4960948293493103E-2</v>
      </c>
    </row>
    <row r="2606" spans="1:7" x14ac:dyDescent="0.3">
      <c r="A2606" s="11" t="s">
        <v>3286</v>
      </c>
      <c r="B2606" s="11"/>
      <c r="C2606" s="2132">
        <v>1</v>
      </c>
      <c r="D2606" s="2132">
        <v>201.87471570195899</v>
      </c>
      <c r="E2606" s="2133">
        <v>209.153085656532</v>
      </c>
      <c r="F2606" s="2134">
        <v>3.26426376734823E-2</v>
      </c>
      <c r="G2606" s="2135">
        <v>3.3840302029028699E-2</v>
      </c>
    </row>
    <row r="2607" spans="1:7" x14ac:dyDescent="0.3">
      <c r="A2607" s="6" t="s">
        <v>3128</v>
      </c>
      <c r="B2607" s="6"/>
      <c r="C2607" s="2128">
        <v>5</v>
      </c>
      <c r="D2607" s="2128">
        <v>175.67237851655801</v>
      </c>
      <c r="E2607" s="2129">
        <v>115.93348171533999</v>
      </c>
      <c r="F2607" s="2130">
        <v>2.8405785148551899E-2</v>
      </c>
      <c r="G2607" s="2131">
        <v>1.8753582268270501E-2</v>
      </c>
    </row>
    <row r="2608" spans="1:7" x14ac:dyDescent="0.3">
      <c r="A2608" s="11" t="s">
        <v>1228</v>
      </c>
      <c r="B2608" s="11"/>
      <c r="C2608" s="2132">
        <v>2</v>
      </c>
      <c r="D2608" s="2132">
        <v>113.62996774443199</v>
      </c>
      <c r="E2608" s="2133">
        <v>63.385727745513002</v>
      </c>
      <c r="F2608" s="2134">
        <v>1.8373682177252298E-2</v>
      </c>
      <c r="G2608" s="2135">
        <v>1.01610058097296E-2</v>
      </c>
    </row>
    <row r="2609" spans="1:7" x14ac:dyDescent="0.3">
      <c r="A2609" s="6" t="s">
        <v>3114</v>
      </c>
      <c r="B2609" s="6"/>
      <c r="C2609" s="2128">
        <v>4</v>
      </c>
      <c r="D2609" s="2128">
        <v>96.979940144919894</v>
      </c>
      <c r="E2609" s="2129">
        <v>69.293695539779904</v>
      </c>
      <c r="F2609" s="2130">
        <v>1.5681414270919999E-2</v>
      </c>
      <c r="G2609" s="2131">
        <v>1.12155690277817E-2</v>
      </c>
    </row>
    <row r="2610" spans="1:7" x14ac:dyDescent="0.3">
      <c r="A2610" s="11" t="s">
        <v>3122</v>
      </c>
      <c r="B2610" s="11"/>
      <c r="C2610" s="2132">
        <v>3</v>
      </c>
      <c r="D2610" s="2132">
        <v>80.756544784778796</v>
      </c>
      <c r="E2610" s="2133">
        <v>82.441618647284798</v>
      </c>
      <c r="F2610" s="2134">
        <v>1.30581317328701E-2</v>
      </c>
      <c r="G2610" s="2135">
        <v>1.32900833402735E-2</v>
      </c>
    </row>
    <row r="2611" spans="1:7" x14ac:dyDescent="0.3">
      <c r="A2611" s="6" t="s">
        <v>3130</v>
      </c>
      <c r="B2611" s="6"/>
      <c r="C2611" s="2128">
        <v>1</v>
      </c>
      <c r="D2611" s="2128">
        <v>51.036653667891002</v>
      </c>
      <c r="E2611" s="2129">
        <v>52.587483714029901</v>
      </c>
      <c r="F2611" s="2130">
        <v>8.2524995166187495E-3</v>
      </c>
      <c r="G2611" s="2131">
        <v>8.4956243328046799E-3</v>
      </c>
    </row>
    <row r="2612" spans="1:7" x14ac:dyDescent="0.3">
      <c r="A2612" s="11" t="s">
        <v>3254</v>
      </c>
      <c r="B2612" s="11"/>
      <c r="C2612" s="2132">
        <v>1</v>
      </c>
      <c r="D2612" s="2132">
        <v>48.060431298834402</v>
      </c>
      <c r="E2612" s="2133">
        <v>48.541875428778603</v>
      </c>
      <c r="F2612" s="2134">
        <v>7.77125178784296E-3</v>
      </c>
      <c r="G2612" s="2135">
        <v>7.8769705785534504E-3</v>
      </c>
    </row>
    <row r="2613" spans="1:7" x14ac:dyDescent="0.3">
      <c r="A2613" s="6" t="s">
        <v>6367</v>
      </c>
      <c r="B2613" s="6"/>
      <c r="C2613" s="2128">
        <v>1</v>
      </c>
      <c r="D2613" s="2128">
        <v>42.085561102741003</v>
      </c>
      <c r="E2613" s="2129">
        <v>43.601435009179802</v>
      </c>
      <c r="F2613" s="2130">
        <v>6.8051301897072702E-3</v>
      </c>
      <c r="G2613" s="2131">
        <v>7.0317147628099503E-3</v>
      </c>
    </row>
    <row r="2614" spans="1:7" x14ac:dyDescent="0.3">
      <c r="A2614" s="11" t="s">
        <v>1146</v>
      </c>
      <c r="B2614" s="11"/>
      <c r="C2614" s="2132">
        <v>1</v>
      </c>
      <c r="D2614" s="2132">
        <v>34.097457500538198</v>
      </c>
      <c r="E2614" s="2133">
        <v>34.593269659817999</v>
      </c>
      <c r="F2614" s="2134">
        <v>5.5134737745972601E-3</v>
      </c>
      <c r="G2614" s="2135">
        <v>5.5901025179732004E-3</v>
      </c>
    </row>
    <row r="2615" spans="1:7" x14ac:dyDescent="0.3">
      <c r="A2615" s="6" t="s">
        <v>1015</v>
      </c>
      <c r="B2615" s="6" t="s">
        <v>1016</v>
      </c>
      <c r="C2615" s="2128">
        <v>7</v>
      </c>
      <c r="D2615" s="2128">
        <v>904.56956427676801</v>
      </c>
      <c r="E2615" s="2129">
        <v>593.55805626916197</v>
      </c>
      <c r="F2615" s="2130">
        <v>61.977403341977499</v>
      </c>
      <c r="G2615" s="2131">
        <v>12.9367081403272</v>
      </c>
    </row>
    <row r="2616" spans="1:7" x14ac:dyDescent="0.3">
      <c r="A2616" s="11" t="s">
        <v>1017</v>
      </c>
      <c r="B2616" s="11" t="s">
        <v>1018</v>
      </c>
      <c r="C2616" s="2132">
        <v>3</v>
      </c>
      <c r="D2616" s="2132">
        <v>554.94554203634198</v>
      </c>
      <c r="E2616" s="2133">
        <v>386.559035907527</v>
      </c>
      <c r="F2616" s="2134">
        <v>38.022596658022501</v>
      </c>
      <c r="G2616" s="2135">
        <v>12.9367081403272</v>
      </c>
    </row>
    <row r="2617" spans="1:7" x14ac:dyDescent="0.3">
      <c r="A2617" s="6" t="s">
        <v>6354</v>
      </c>
      <c r="B2617" s="6" t="s">
        <v>6355</v>
      </c>
      <c r="C2617" s="2128">
        <v>2168</v>
      </c>
      <c r="D2617" s="2128">
        <v>618438.73562324001</v>
      </c>
      <c r="E2617" s="2129">
        <v>8512.7067062700298</v>
      </c>
      <c r="F2617" s="2130">
        <v>99.764555698520596</v>
      </c>
      <c r="G2617" s="2131">
        <v>0.149128649726085</v>
      </c>
    </row>
    <row r="2618" spans="1:7" x14ac:dyDescent="0.3">
      <c r="A2618" s="11" t="s">
        <v>6354</v>
      </c>
      <c r="B2618" s="11" t="s">
        <v>6356</v>
      </c>
      <c r="C2618" s="2132">
        <v>2178</v>
      </c>
      <c r="D2618" s="2132">
        <v>619898.25072955305</v>
      </c>
      <c r="E2618" s="2133">
        <v>0</v>
      </c>
      <c r="F2618" s="2134">
        <v>100</v>
      </c>
      <c r="G2618" s="2135">
        <v>0</v>
      </c>
    </row>
    <row r="2619" spans="1:7" x14ac:dyDescent="0.3">
      <c r="A2619" s="3449" t="s">
        <v>411</v>
      </c>
      <c r="B2619" s="3450"/>
      <c r="C2619" s="3450"/>
      <c r="D2619" s="3450"/>
      <c r="E2619" s="3450"/>
      <c r="F2619" s="3450"/>
      <c r="G2619" s="3450"/>
    </row>
    <row r="2620" spans="1:7" x14ac:dyDescent="0.3">
      <c r="A2620" s="11" t="s">
        <v>1222</v>
      </c>
      <c r="B2620" s="11" t="s">
        <v>3215</v>
      </c>
      <c r="C2620" s="2140">
        <v>364</v>
      </c>
      <c r="D2620" s="2140">
        <v>93626.069715564707</v>
      </c>
      <c r="E2620" s="2141">
        <v>9073.4789014084199</v>
      </c>
      <c r="F2620" s="2142">
        <v>15.2041226017986</v>
      </c>
      <c r="G2620" s="2143">
        <v>1.5100588071308001</v>
      </c>
    </row>
    <row r="2621" spans="1:7" x14ac:dyDescent="0.3">
      <c r="A2621" s="6" t="s">
        <v>1067</v>
      </c>
      <c r="B2621" s="6" t="s">
        <v>3210</v>
      </c>
      <c r="C2621" s="2136">
        <v>353</v>
      </c>
      <c r="D2621" s="2136">
        <v>92899.436928931798</v>
      </c>
      <c r="E2621" s="2137">
        <v>8256.2056315229802</v>
      </c>
      <c r="F2621" s="2138">
        <v>15.086123266698699</v>
      </c>
      <c r="G2621" s="2139">
        <v>1.2017608925435601</v>
      </c>
    </row>
    <row r="2622" spans="1:7" x14ac:dyDescent="0.3">
      <c r="A2622" s="11" t="s">
        <v>3118</v>
      </c>
      <c r="B2622" s="11" t="s">
        <v>3230</v>
      </c>
      <c r="C2622" s="2140">
        <v>188</v>
      </c>
      <c r="D2622" s="2140">
        <v>68856.496604995395</v>
      </c>
      <c r="E2622" s="2141">
        <v>8010.6111900342603</v>
      </c>
      <c r="F2622" s="2142">
        <v>11.1817426438295</v>
      </c>
      <c r="G2622" s="2143">
        <v>1.18229090134813</v>
      </c>
    </row>
    <row r="2623" spans="1:7" x14ac:dyDescent="0.3">
      <c r="A2623" s="6" t="s">
        <v>3136</v>
      </c>
      <c r="B2623" s="6" t="s">
        <v>3242</v>
      </c>
      <c r="C2623" s="2136">
        <v>213</v>
      </c>
      <c r="D2623" s="2136">
        <v>65228.665037053797</v>
      </c>
      <c r="E2623" s="2137">
        <v>4678.2727045172296</v>
      </c>
      <c r="F2623" s="2138">
        <v>10.592611901663</v>
      </c>
      <c r="G2623" s="2139">
        <v>0.76981442252793297</v>
      </c>
    </row>
    <row r="2624" spans="1:7" x14ac:dyDescent="0.3">
      <c r="A2624" s="11" t="s">
        <v>3114</v>
      </c>
      <c r="B2624" s="11" t="s">
        <v>3228</v>
      </c>
      <c r="C2624" s="2140">
        <v>99</v>
      </c>
      <c r="D2624" s="2140">
        <v>33454.564783160997</v>
      </c>
      <c r="E2624" s="2141">
        <v>6985.4660060238702</v>
      </c>
      <c r="F2624" s="2142">
        <v>5.4327529298010804</v>
      </c>
      <c r="G2624" s="2143">
        <v>1.1862314306444699</v>
      </c>
    </row>
    <row r="2625" spans="1:7" x14ac:dyDescent="0.3">
      <c r="A2625" s="6" t="s">
        <v>1040</v>
      </c>
      <c r="B2625" s="6" t="s">
        <v>3206</v>
      </c>
      <c r="C2625" s="2136">
        <v>138</v>
      </c>
      <c r="D2625" s="2136">
        <v>31632.046683621698</v>
      </c>
      <c r="E2625" s="2137">
        <v>1751.3041609869699</v>
      </c>
      <c r="F2625" s="2138">
        <v>5.1367906116820503</v>
      </c>
      <c r="G2625" s="2139">
        <v>0.32078972768383701</v>
      </c>
    </row>
    <row r="2626" spans="1:7" x14ac:dyDescent="0.3">
      <c r="A2626" s="11" t="s">
        <v>1023</v>
      </c>
      <c r="B2626" s="11" t="s">
        <v>3203</v>
      </c>
      <c r="C2626" s="2140">
        <v>72</v>
      </c>
      <c r="D2626" s="2140">
        <v>23190.498868543302</v>
      </c>
      <c r="E2626" s="2141">
        <v>4991.75023787799</v>
      </c>
      <c r="F2626" s="2142">
        <v>3.7659509692692898</v>
      </c>
      <c r="G2626" s="2143">
        <v>0.792829068362783</v>
      </c>
    </row>
    <row r="2627" spans="1:7" x14ac:dyDescent="0.3">
      <c r="A2627" s="6" t="s">
        <v>1118</v>
      </c>
      <c r="B2627" s="6" t="s">
        <v>3218</v>
      </c>
      <c r="C2627" s="2136">
        <v>72</v>
      </c>
      <c r="D2627" s="2136">
        <v>18442.954159729801</v>
      </c>
      <c r="E2627" s="2137">
        <v>3251.8297831163</v>
      </c>
      <c r="F2627" s="2138">
        <v>2.9949877959820799</v>
      </c>
      <c r="G2627" s="2139">
        <v>0.50726868801762603</v>
      </c>
    </row>
    <row r="2628" spans="1:7" x14ac:dyDescent="0.3">
      <c r="A2628" s="11" t="s">
        <v>3142</v>
      </c>
      <c r="B2628" s="11" t="s">
        <v>3248</v>
      </c>
      <c r="C2628" s="2140">
        <v>53</v>
      </c>
      <c r="D2628" s="2140">
        <v>17129.645388897799</v>
      </c>
      <c r="E2628" s="2141">
        <v>4384.7039068158101</v>
      </c>
      <c r="F2628" s="2142">
        <v>2.78171698768681</v>
      </c>
      <c r="G2628" s="2143">
        <v>0.70928331487498197</v>
      </c>
    </row>
    <row r="2629" spans="1:7" x14ac:dyDescent="0.3">
      <c r="A2629" s="6" t="s">
        <v>1150</v>
      </c>
      <c r="B2629" s="6" t="s">
        <v>3259</v>
      </c>
      <c r="C2629" s="2136">
        <v>42</v>
      </c>
      <c r="D2629" s="2136">
        <v>16106.108674876201</v>
      </c>
      <c r="E2629" s="2137">
        <v>3913.6031753368802</v>
      </c>
      <c r="F2629" s="2138">
        <v>2.6155028367061801</v>
      </c>
      <c r="G2629" s="2139">
        <v>0.64120610749026397</v>
      </c>
    </row>
    <row r="2630" spans="1:7" x14ac:dyDescent="0.3">
      <c r="A2630" s="11" t="s">
        <v>3254</v>
      </c>
      <c r="B2630" s="11" t="s">
        <v>3255</v>
      </c>
      <c r="C2630" s="2140">
        <v>49</v>
      </c>
      <c r="D2630" s="2140">
        <v>14620.143160371799</v>
      </c>
      <c r="E2630" s="2141">
        <v>3103.25701694488</v>
      </c>
      <c r="F2630" s="2142">
        <v>2.3741939583862202</v>
      </c>
      <c r="G2630" s="2143">
        <v>0.50321094361871299</v>
      </c>
    </row>
    <row r="2631" spans="1:7" x14ac:dyDescent="0.3">
      <c r="A2631" s="6" t="s">
        <v>1079</v>
      </c>
      <c r="B2631" s="6" t="s">
        <v>3213</v>
      </c>
      <c r="C2631" s="2136">
        <v>45</v>
      </c>
      <c r="D2631" s="2136">
        <v>11369.985994558599</v>
      </c>
      <c r="E2631" s="2137">
        <v>2304.9158460510398</v>
      </c>
      <c r="F2631" s="2138">
        <v>1.8463945092128899</v>
      </c>
      <c r="G2631" s="2139">
        <v>0.38727405089890499</v>
      </c>
    </row>
    <row r="2632" spans="1:7" x14ac:dyDescent="0.3">
      <c r="A2632" s="11" t="s">
        <v>1224</v>
      </c>
      <c r="B2632" s="11" t="s">
        <v>3223</v>
      </c>
      <c r="C2632" s="2140">
        <v>24</v>
      </c>
      <c r="D2632" s="2140">
        <v>11054.0059605077</v>
      </c>
      <c r="E2632" s="2141">
        <v>2319.36622779152</v>
      </c>
      <c r="F2632" s="2142">
        <v>1.7950818866492699</v>
      </c>
      <c r="G2632" s="2143">
        <v>0.38006469642415502</v>
      </c>
    </row>
    <row r="2633" spans="1:7" x14ac:dyDescent="0.3">
      <c r="A2633" s="6" t="s">
        <v>1130</v>
      </c>
      <c r="B2633" s="6" t="s">
        <v>3234</v>
      </c>
      <c r="C2633" s="2136">
        <v>33</v>
      </c>
      <c r="D2633" s="2136">
        <v>10910.566656142701</v>
      </c>
      <c r="E2633" s="2137">
        <v>2812.9109774307799</v>
      </c>
      <c r="F2633" s="2138">
        <v>1.77178849436967</v>
      </c>
      <c r="G2633" s="2139">
        <v>0.44206206092116601</v>
      </c>
    </row>
    <row r="2634" spans="1:7" x14ac:dyDescent="0.3">
      <c r="A2634" s="11" t="s">
        <v>1116</v>
      </c>
      <c r="B2634" s="11" t="s">
        <v>3217</v>
      </c>
      <c r="C2634" s="2140">
        <v>34</v>
      </c>
      <c r="D2634" s="2140">
        <v>8662.5579876232405</v>
      </c>
      <c r="E2634" s="2141">
        <v>1658.8772306020401</v>
      </c>
      <c r="F2634" s="2142">
        <v>1.4067299213684501</v>
      </c>
      <c r="G2634" s="2143">
        <v>0.26376500185071</v>
      </c>
    </row>
    <row r="2635" spans="1:7" x14ac:dyDescent="0.3">
      <c r="A2635" s="6" t="s">
        <v>1132</v>
      </c>
      <c r="B2635" s="6" t="s">
        <v>3235</v>
      </c>
      <c r="C2635" s="2136">
        <v>26</v>
      </c>
      <c r="D2635" s="2136">
        <v>8352.1315737613204</v>
      </c>
      <c r="E2635" s="2137">
        <v>3255.9052595568301</v>
      </c>
      <c r="F2635" s="2138">
        <v>1.35631916216931</v>
      </c>
      <c r="G2635" s="2139">
        <v>0.532274832560509</v>
      </c>
    </row>
    <row r="2636" spans="1:7" x14ac:dyDescent="0.3">
      <c r="A2636" s="11" t="s">
        <v>3134</v>
      </c>
      <c r="B2636" s="11" t="s">
        <v>3241</v>
      </c>
      <c r="C2636" s="2140">
        <v>34</v>
      </c>
      <c r="D2636" s="2140">
        <v>7946.4437588621404</v>
      </c>
      <c r="E2636" s="2141">
        <v>2410.8248577190602</v>
      </c>
      <c r="F2636" s="2142">
        <v>1.29043871568126</v>
      </c>
      <c r="G2636" s="2143">
        <v>0.40492472935740198</v>
      </c>
    </row>
    <row r="2637" spans="1:7" x14ac:dyDescent="0.3">
      <c r="A2637" s="6" t="s">
        <v>1031</v>
      </c>
      <c r="B2637" s="6" t="s">
        <v>3205</v>
      </c>
      <c r="C2637" s="2136">
        <v>38</v>
      </c>
      <c r="D2637" s="2136">
        <v>7716.2014935211701</v>
      </c>
      <c r="E2637" s="2137">
        <v>2396.6737297218501</v>
      </c>
      <c r="F2637" s="2138">
        <v>1.2530492189204201</v>
      </c>
      <c r="G2637" s="2139">
        <v>0.39364580956262202</v>
      </c>
    </row>
    <row r="2638" spans="1:7" x14ac:dyDescent="0.3">
      <c r="A2638" s="11" t="s">
        <v>3252</v>
      </c>
      <c r="B2638" s="11" t="s">
        <v>3253</v>
      </c>
      <c r="C2638" s="2140">
        <v>19</v>
      </c>
      <c r="D2638" s="2140">
        <v>7245.7374044995604</v>
      </c>
      <c r="E2638" s="2141">
        <v>2620.8849247726398</v>
      </c>
      <c r="F2638" s="2142">
        <v>1.17664962518591</v>
      </c>
      <c r="G2638" s="2143">
        <v>0.419377077686518</v>
      </c>
    </row>
    <row r="2639" spans="1:7" x14ac:dyDescent="0.3">
      <c r="A2639" s="6" t="s">
        <v>1156</v>
      </c>
      <c r="B2639" s="6" t="s">
        <v>3269</v>
      </c>
      <c r="C2639" s="2136">
        <v>29</v>
      </c>
      <c r="D2639" s="2136">
        <v>7037.8094893997004</v>
      </c>
      <c r="E2639" s="2137">
        <v>3589.4293293972901</v>
      </c>
      <c r="F2639" s="2138">
        <v>1.1428837998862</v>
      </c>
      <c r="G2639" s="2139">
        <v>0.57936378796895205</v>
      </c>
    </row>
    <row r="2640" spans="1:7" x14ac:dyDescent="0.3">
      <c r="A2640" s="11" t="s">
        <v>1071</v>
      </c>
      <c r="B2640" s="11" t="s">
        <v>3212</v>
      </c>
      <c r="C2640" s="2140">
        <v>22</v>
      </c>
      <c r="D2640" s="2140">
        <v>5995.0632250552098</v>
      </c>
      <c r="E2640" s="2141">
        <v>1678.2135925576799</v>
      </c>
      <c r="F2640" s="2142">
        <v>0.97355017204274097</v>
      </c>
      <c r="G2640" s="2143">
        <v>0.26894641410195802</v>
      </c>
    </row>
    <row r="2641" spans="1:7" x14ac:dyDescent="0.3">
      <c r="A2641" s="6" t="s">
        <v>1144</v>
      </c>
      <c r="B2641" s="6" t="s">
        <v>3247</v>
      </c>
      <c r="C2641" s="2136">
        <v>22</v>
      </c>
      <c r="D2641" s="2136">
        <v>5618.3935521823596</v>
      </c>
      <c r="E2641" s="2137">
        <v>1378.36409998823</v>
      </c>
      <c r="F2641" s="2138">
        <v>0.91238203902021298</v>
      </c>
      <c r="G2641" s="2139">
        <v>0.22567308582460299</v>
      </c>
    </row>
    <row r="2642" spans="1:7" x14ac:dyDescent="0.3">
      <c r="A2642" s="11" t="s">
        <v>1081</v>
      </c>
      <c r="B2642" s="11" t="s">
        <v>3214</v>
      </c>
      <c r="C2642" s="2140">
        <v>30</v>
      </c>
      <c r="D2642" s="2140">
        <v>5304.38117190711</v>
      </c>
      <c r="E2642" s="2141">
        <v>2070.5819136927898</v>
      </c>
      <c r="F2642" s="2142">
        <v>0.86138894764414897</v>
      </c>
      <c r="G2642" s="2143">
        <v>0.34068796207693702</v>
      </c>
    </row>
    <row r="2643" spans="1:7" x14ac:dyDescent="0.3">
      <c r="A2643" s="6" t="s">
        <v>1138</v>
      </c>
      <c r="B2643" s="6" t="s">
        <v>3244</v>
      </c>
      <c r="C2643" s="2136">
        <v>8</v>
      </c>
      <c r="D2643" s="2136">
        <v>4636.1413274824099</v>
      </c>
      <c r="E2643" s="2137">
        <v>2092.9378997123199</v>
      </c>
      <c r="F2643" s="2138">
        <v>0.75287215789845097</v>
      </c>
      <c r="G2643" s="2139">
        <v>0.33578495766348299</v>
      </c>
    </row>
    <row r="2644" spans="1:7" x14ac:dyDescent="0.3">
      <c r="A2644" s="11" t="s">
        <v>1069</v>
      </c>
      <c r="B2644" s="11" t="s">
        <v>3211</v>
      </c>
      <c r="C2644" s="2140">
        <v>24</v>
      </c>
      <c r="D2644" s="2140">
        <v>4354.8105999087402</v>
      </c>
      <c r="E2644" s="2141">
        <v>1449.6861984238601</v>
      </c>
      <c r="F2644" s="2142">
        <v>0.70718630473086697</v>
      </c>
      <c r="G2644" s="2143">
        <v>0.23499426466486201</v>
      </c>
    </row>
    <row r="2645" spans="1:7" x14ac:dyDescent="0.3">
      <c r="A2645" s="6" t="s">
        <v>1140</v>
      </c>
      <c r="B2645" s="6" t="s">
        <v>3245</v>
      </c>
      <c r="C2645" s="2136">
        <v>9</v>
      </c>
      <c r="D2645" s="2136">
        <v>4162.6851134531798</v>
      </c>
      <c r="E2645" s="2137">
        <v>1981.67719905273</v>
      </c>
      <c r="F2645" s="2138">
        <v>0.67598666706718202</v>
      </c>
      <c r="G2645" s="2139">
        <v>0.31844392555624801</v>
      </c>
    </row>
    <row r="2646" spans="1:7" x14ac:dyDescent="0.3">
      <c r="A2646" s="11" t="s">
        <v>1128</v>
      </c>
      <c r="B2646" s="11" t="s">
        <v>3227</v>
      </c>
      <c r="C2646" s="2140">
        <v>15</v>
      </c>
      <c r="D2646" s="2140">
        <v>4079.0469758518898</v>
      </c>
      <c r="E2646" s="2141">
        <v>1139.9121656605901</v>
      </c>
      <c r="F2646" s="2142">
        <v>0.66240450451203603</v>
      </c>
      <c r="G2646" s="2143">
        <v>0.18913014562712199</v>
      </c>
    </row>
    <row r="2647" spans="1:7" x14ac:dyDescent="0.3">
      <c r="A2647" s="6" t="s">
        <v>3273</v>
      </c>
      <c r="B2647" s="6" t="s">
        <v>3274</v>
      </c>
      <c r="C2647" s="2136">
        <v>9</v>
      </c>
      <c r="D2647" s="2136">
        <v>2957.4285656249099</v>
      </c>
      <c r="E2647" s="2137">
        <v>1472.0091438181701</v>
      </c>
      <c r="F2647" s="2138">
        <v>0.48026267293315</v>
      </c>
      <c r="G2647" s="2139">
        <v>0.240669738366068</v>
      </c>
    </row>
    <row r="2648" spans="1:7" x14ac:dyDescent="0.3">
      <c r="A2648" s="11" t="s">
        <v>3297</v>
      </c>
      <c r="B2648" s="11" t="s">
        <v>3298</v>
      </c>
      <c r="C2648" s="2140">
        <v>20</v>
      </c>
      <c r="D2648" s="2140">
        <v>2915.89775904422</v>
      </c>
      <c r="E2648" s="2141">
        <v>1094.1475101021799</v>
      </c>
      <c r="F2648" s="2142">
        <v>0.47351840312749899</v>
      </c>
      <c r="G2648" s="2143">
        <v>0.17970778246643301</v>
      </c>
    </row>
    <row r="2649" spans="1:7" x14ac:dyDescent="0.3">
      <c r="A2649" s="6" t="s">
        <v>1114</v>
      </c>
      <c r="B2649" s="6" t="s">
        <v>3216</v>
      </c>
      <c r="C2649" s="2136">
        <v>9</v>
      </c>
      <c r="D2649" s="2136">
        <v>2777.5074266874899</v>
      </c>
      <c r="E2649" s="2137">
        <v>1942.35893956169</v>
      </c>
      <c r="F2649" s="2138">
        <v>0.45104492339639901</v>
      </c>
      <c r="G2649" s="2139">
        <v>0.31480123312591601</v>
      </c>
    </row>
    <row r="2650" spans="1:7" x14ac:dyDescent="0.3">
      <c r="A2650" s="11" t="s">
        <v>3128</v>
      </c>
      <c r="B2650" s="11" t="s">
        <v>3238</v>
      </c>
      <c r="C2650" s="2140">
        <v>8</v>
      </c>
      <c r="D2650" s="2140">
        <v>2444.6501220362402</v>
      </c>
      <c r="E2650" s="2141">
        <v>1698.4746932498699</v>
      </c>
      <c r="F2650" s="2142">
        <v>0.39699156748605802</v>
      </c>
      <c r="G2650" s="2143">
        <v>0.27561091590584602</v>
      </c>
    </row>
    <row r="2651" spans="1:7" x14ac:dyDescent="0.3">
      <c r="A2651" s="6" t="s">
        <v>1134</v>
      </c>
      <c r="B2651" s="6" t="s">
        <v>3236</v>
      </c>
      <c r="C2651" s="2136">
        <v>6</v>
      </c>
      <c r="D2651" s="2136">
        <v>2278.6553396427898</v>
      </c>
      <c r="E2651" s="2137">
        <v>1691.2409762531299</v>
      </c>
      <c r="F2651" s="2138">
        <v>0.37003534652712899</v>
      </c>
      <c r="G2651" s="2139">
        <v>0.27361683740008202</v>
      </c>
    </row>
    <row r="2652" spans="1:7" x14ac:dyDescent="0.3">
      <c r="A2652" s="11" t="s">
        <v>1228</v>
      </c>
      <c r="B2652" s="11" t="s">
        <v>3243</v>
      </c>
      <c r="C2652" s="2140">
        <v>4</v>
      </c>
      <c r="D2652" s="2140">
        <v>2070.0546458951799</v>
      </c>
      <c r="E2652" s="2141">
        <v>1694.25813301175</v>
      </c>
      <c r="F2652" s="2142">
        <v>0.336160267372421</v>
      </c>
      <c r="G2652" s="2143">
        <v>0.27510655341732798</v>
      </c>
    </row>
    <row r="2653" spans="1:7" x14ac:dyDescent="0.3">
      <c r="A2653" s="6" t="s">
        <v>1230</v>
      </c>
      <c r="B2653" s="6" t="s">
        <v>3256</v>
      </c>
      <c r="C2653" s="2136">
        <v>3</v>
      </c>
      <c r="D2653" s="2136">
        <v>1948.3816931188301</v>
      </c>
      <c r="E2653" s="2137">
        <v>1744.7855361931599</v>
      </c>
      <c r="F2653" s="2138">
        <v>0.316401555969127</v>
      </c>
      <c r="G2653" s="2139">
        <v>0.28219078658809499</v>
      </c>
    </row>
    <row r="2654" spans="1:7" x14ac:dyDescent="0.3">
      <c r="A2654" s="11" t="s">
        <v>1120</v>
      </c>
      <c r="B2654" s="11" t="s">
        <v>3219</v>
      </c>
      <c r="C2654" s="2140">
        <v>11</v>
      </c>
      <c r="D2654" s="2140">
        <v>1500.7343296629499</v>
      </c>
      <c r="E2654" s="2141">
        <v>703.326184482852</v>
      </c>
      <c r="F2654" s="2142">
        <v>0.24370721541812601</v>
      </c>
      <c r="G2654" s="2143">
        <v>0.112634489422536</v>
      </c>
    </row>
    <row r="2655" spans="1:7" x14ac:dyDescent="0.3">
      <c r="A2655" s="6" t="s">
        <v>3265</v>
      </c>
      <c r="B2655" s="6" t="s">
        <v>3266</v>
      </c>
      <c r="C2655" s="2136">
        <v>2</v>
      </c>
      <c r="D2655" s="2136">
        <v>1447.2708654441701</v>
      </c>
      <c r="E2655" s="2137">
        <v>1399.66773431565</v>
      </c>
      <c r="F2655" s="2138">
        <v>0.23502517774241599</v>
      </c>
      <c r="G2655" s="2139">
        <v>0.22708128931253899</v>
      </c>
    </row>
    <row r="2656" spans="1:7" x14ac:dyDescent="0.3">
      <c r="A2656" s="11" t="s">
        <v>1142</v>
      </c>
      <c r="B2656" s="11" t="s">
        <v>3246</v>
      </c>
      <c r="C2656" s="2140">
        <v>8</v>
      </c>
      <c r="D2656" s="2140">
        <v>1388.1481225621301</v>
      </c>
      <c r="E2656" s="2141">
        <v>704.26582713258597</v>
      </c>
      <c r="F2656" s="2142">
        <v>0.225424118613649</v>
      </c>
      <c r="G2656" s="2143">
        <v>0.11637466655453001</v>
      </c>
    </row>
    <row r="2657" spans="1:7" x14ac:dyDescent="0.3">
      <c r="A2657" s="6" t="s">
        <v>3263</v>
      </c>
      <c r="B2657" s="6" t="s">
        <v>3264</v>
      </c>
      <c r="C2657" s="2136">
        <v>5</v>
      </c>
      <c r="D2657" s="2136">
        <v>918.91592177502105</v>
      </c>
      <c r="E2657" s="2137">
        <v>400.34891905909598</v>
      </c>
      <c r="F2657" s="2138">
        <v>0.14922457364553399</v>
      </c>
      <c r="G2657" s="2139">
        <v>6.69657733961007E-2</v>
      </c>
    </row>
    <row r="2658" spans="1:7" x14ac:dyDescent="0.3">
      <c r="A2658" s="11" t="s">
        <v>3116</v>
      </c>
      <c r="B2658" s="11" t="s">
        <v>3229</v>
      </c>
      <c r="C2658" s="2140">
        <v>4</v>
      </c>
      <c r="D2658" s="2140">
        <v>844.87802515632598</v>
      </c>
      <c r="E2658" s="2141">
        <v>580.10234241697106</v>
      </c>
      <c r="F2658" s="2142">
        <v>0.13720141320753099</v>
      </c>
      <c r="G2658" s="2143">
        <v>9.4862554737779006E-2</v>
      </c>
    </row>
    <row r="2659" spans="1:7" x14ac:dyDescent="0.3">
      <c r="A2659" s="6" t="s">
        <v>3261</v>
      </c>
      <c r="B2659" s="6" t="s">
        <v>3262</v>
      </c>
      <c r="C2659" s="2136">
        <v>3</v>
      </c>
      <c r="D2659" s="2136">
        <v>664.22193503218898</v>
      </c>
      <c r="E2659" s="2137">
        <v>566.47638277294698</v>
      </c>
      <c r="F2659" s="2138">
        <v>0.107864313494241</v>
      </c>
      <c r="G2659" s="2139">
        <v>9.1340952492745903E-2</v>
      </c>
    </row>
    <row r="2660" spans="1:7" x14ac:dyDescent="0.3">
      <c r="A2660" s="11" t="s">
        <v>3122</v>
      </c>
      <c r="B2660" s="11" t="s">
        <v>3232</v>
      </c>
      <c r="C2660" s="2140">
        <v>4</v>
      </c>
      <c r="D2660" s="2140">
        <v>553.29500238090804</v>
      </c>
      <c r="E2660" s="2141">
        <v>306.16889406674397</v>
      </c>
      <c r="F2660" s="2142">
        <v>8.98506695487538E-2</v>
      </c>
      <c r="G2660" s="2143">
        <v>5.0049149623852901E-2</v>
      </c>
    </row>
    <row r="2661" spans="1:7" x14ac:dyDescent="0.3">
      <c r="A2661" s="6" t="s">
        <v>1158</v>
      </c>
      <c r="B2661" s="6" t="s">
        <v>3270</v>
      </c>
      <c r="C2661" s="2136">
        <v>3</v>
      </c>
      <c r="D2661" s="2136">
        <v>340.32006541475198</v>
      </c>
      <c r="E2661" s="2137">
        <v>203.509994860825</v>
      </c>
      <c r="F2661" s="2138">
        <v>5.5265248387948003E-2</v>
      </c>
      <c r="G2661" s="2139">
        <v>3.26153500821669E-2</v>
      </c>
    </row>
    <row r="2662" spans="1:7" x14ac:dyDescent="0.3">
      <c r="A2662" s="11" t="s">
        <v>1124</v>
      </c>
      <c r="B2662" s="11" t="s">
        <v>3225</v>
      </c>
      <c r="C2662" s="2140">
        <v>3</v>
      </c>
      <c r="D2662" s="2140">
        <v>294.19231921528399</v>
      </c>
      <c r="E2662" s="2141">
        <v>295.041675472566</v>
      </c>
      <c r="F2662" s="2142">
        <v>4.77744724673951E-2</v>
      </c>
      <c r="G2662" s="2143">
        <v>4.7946458650974702E-2</v>
      </c>
    </row>
    <row r="2663" spans="1:7" x14ac:dyDescent="0.3">
      <c r="A2663" s="6" t="s">
        <v>3299</v>
      </c>
      <c r="B2663" s="6" t="s">
        <v>3300</v>
      </c>
      <c r="C2663" s="2136">
        <v>2</v>
      </c>
      <c r="D2663" s="2136">
        <v>242.855866677942</v>
      </c>
      <c r="E2663" s="2137">
        <v>211.230920279484</v>
      </c>
      <c r="F2663" s="2138">
        <v>3.9437844424688603E-2</v>
      </c>
      <c r="G2663" s="2139">
        <v>3.4440443318738502E-2</v>
      </c>
    </row>
    <row r="2664" spans="1:7" x14ac:dyDescent="0.3">
      <c r="A2664" s="11" t="s">
        <v>1061</v>
      </c>
      <c r="B2664" s="11" t="s">
        <v>3208</v>
      </c>
      <c r="C2664" s="2140">
        <v>1</v>
      </c>
      <c r="D2664" s="2140">
        <v>197.10249321603899</v>
      </c>
      <c r="E2664" s="2141">
        <v>207.66972697056099</v>
      </c>
      <c r="F2664" s="2142">
        <v>3.20078636332915E-2</v>
      </c>
      <c r="G2664" s="2143">
        <v>3.3742205463808003E-2</v>
      </c>
    </row>
    <row r="2665" spans="1:7" x14ac:dyDescent="0.3">
      <c r="A2665" s="6" t="s">
        <v>1025</v>
      </c>
      <c r="B2665" s="6" t="s">
        <v>3204</v>
      </c>
      <c r="C2665" s="2136">
        <v>1</v>
      </c>
      <c r="D2665" s="2136">
        <v>192.89202393563301</v>
      </c>
      <c r="E2665" s="2137">
        <v>206.09217917553701</v>
      </c>
      <c r="F2665" s="2138">
        <v>3.13241172008622E-2</v>
      </c>
      <c r="G2665" s="2139">
        <v>3.33351325523428E-2</v>
      </c>
    </row>
    <row r="2666" spans="1:7" x14ac:dyDescent="0.3">
      <c r="A2666" s="11" t="s">
        <v>3286</v>
      </c>
      <c r="B2666" s="11" t="s">
        <v>3287</v>
      </c>
      <c r="C2666" s="2140">
        <v>1</v>
      </c>
      <c r="D2666" s="2140">
        <v>183.97217652419999</v>
      </c>
      <c r="E2666" s="2141">
        <v>189.027847567186</v>
      </c>
      <c r="F2666" s="2142">
        <v>2.9875605541184801E-2</v>
      </c>
      <c r="G2666" s="2143">
        <v>3.0578555998337E-2</v>
      </c>
    </row>
    <row r="2667" spans="1:7" x14ac:dyDescent="0.3">
      <c r="A2667" s="6" t="s">
        <v>1213</v>
      </c>
      <c r="B2667" s="6" t="s">
        <v>1016</v>
      </c>
      <c r="C2667" s="2136">
        <v>9</v>
      </c>
      <c r="D2667" s="2136">
        <v>3177.8468581197799</v>
      </c>
      <c r="E2667" s="2137">
        <v>1101.3062054776001</v>
      </c>
      <c r="F2667" s="2138">
        <v>77.427562502971597</v>
      </c>
      <c r="G2667" s="2139">
        <v>15.406817232169301</v>
      </c>
    </row>
    <row r="2668" spans="1:7" x14ac:dyDescent="0.3">
      <c r="A2668" s="11" t="s">
        <v>1015</v>
      </c>
      <c r="B2668" s="11" t="s">
        <v>1016</v>
      </c>
      <c r="C2668" s="2140">
        <v>8</v>
      </c>
      <c r="D2668" s="2140">
        <v>926.43688192152104</v>
      </c>
      <c r="E2668" s="2141">
        <v>516.36673027435199</v>
      </c>
      <c r="F2668" s="2142">
        <v>22.5724374970284</v>
      </c>
      <c r="G2668" s="2143">
        <v>15.406817232169301</v>
      </c>
    </row>
    <row r="2669" spans="1:7" x14ac:dyDescent="0.3">
      <c r="A2669" s="6" t="s">
        <v>6354</v>
      </c>
      <c r="B2669" s="6" t="s">
        <v>6355</v>
      </c>
      <c r="C2669" s="2136">
        <v>2162</v>
      </c>
      <c r="D2669" s="2136">
        <v>615793.96698951197</v>
      </c>
      <c r="E2669" s="2137">
        <v>9125.9182486856407</v>
      </c>
      <c r="F2669" s="2138">
        <v>99.337910094888798</v>
      </c>
      <c r="G2669" s="2139">
        <v>0.120956127458883</v>
      </c>
    </row>
    <row r="2670" spans="1:7" x14ac:dyDescent="0.3">
      <c r="A2670" s="11" t="s">
        <v>6354</v>
      </c>
      <c r="B2670" s="11" t="s">
        <v>6356</v>
      </c>
      <c r="C2670" s="2140">
        <v>2179</v>
      </c>
      <c r="D2670" s="2140">
        <v>619898.25072955305</v>
      </c>
      <c r="E2670" s="2141">
        <v>0</v>
      </c>
      <c r="F2670" s="2142">
        <v>100</v>
      </c>
      <c r="G2670" s="2143">
        <v>0</v>
      </c>
    </row>
    <row r="2671" spans="1:7" x14ac:dyDescent="0.3">
      <c r="A2671" s="3449" t="s">
        <v>414</v>
      </c>
      <c r="B2671" s="3450"/>
      <c r="C2671" s="3450"/>
      <c r="D2671" s="3450"/>
      <c r="E2671" s="3450"/>
      <c r="F2671" s="3450"/>
      <c r="G2671" s="3450"/>
    </row>
    <row r="2672" spans="1:7" x14ac:dyDescent="0.3">
      <c r="A2672" s="11" t="s">
        <v>1019</v>
      </c>
      <c r="B2672" s="11" t="s">
        <v>1020</v>
      </c>
      <c r="C2672" s="2148">
        <v>2179</v>
      </c>
      <c r="D2672" s="2148">
        <v>619898.25072955503</v>
      </c>
      <c r="E2672" s="2149">
        <v>8816.4550720352599</v>
      </c>
      <c r="F2672" s="2150">
        <v>100</v>
      </c>
      <c r="G2672" s="2151">
        <v>0</v>
      </c>
    </row>
    <row r="2673" spans="1:7" x14ac:dyDescent="0.3">
      <c r="A2673" s="6" t="s">
        <v>6354</v>
      </c>
      <c r="B2673" s="6" t="s">
        <v>6355</v>
      </c>
      <c r="C2673" s="2144">
        <v>0</v>
      </c>
      <c r="D2673" s="2144">
        <v>0</v>
      </c>
      <c r="E2673" s="2145">
        <v>0</v>
      </c>
      <c r="F2673" s="2146">
        <v>0</v>
      </c>
      <c r="G2673" s="2147">
        <v>0</v>
      </c>
    </row>
    <row r="2674" spans="1:7" x14ac:dyDescent="0.3">
      <c r="A2674" s="11" t="s">
        <v>6354</v>
      </c>
      <c r="B2674" s="11" t="s">
        <v>6356</v>
      </c>
      <c r="C2674" s="2148">
        <v>2179</v>
      </c>
      <c r="D2674" s="2148">
        <v>619898.25072955503</v>
      </c>
      <c r="E2674" s="2149">
        <v>0</v>
      </c>
      <c r="F2674" s="2150">
        <v>100</v>
      </c>
      <c r="G2674" s="2151">
        <v>0</v>
      </c>
    </row>
    <row r="2675" spans="1:7" x14ac:dyDescent="0.3">
      <c r="A2675" s="3449" t="s">
        <v>432</v>
      </c>
      <c r="B2675" s="3450"/>
      <c r="C2675" s="3450"/>
      <c r="D2675" s="3450"/>
      <c r="E2675" s="3450"/>
      <c r="F2675" s="3450"/>
      <c r="G2675" s="3450"/>
    </row>
    <row r="2676" spans="1:7" x14ac:dyDescent="0.3">
      <c r="A2676" s="11" t="s">
        <v>1213</v>
      </c>
      <c r="B2676" s="11" t="s">
        <v>1016</v>
      </c>
      <c r="C2676" s="2156">
        <v>46</v>
      </c>
      <c r="D2676" s="2156">
        <v>15722.4521664065</v>
      </c>
      <c r="E2676" s="2157">
        <v>4828.31735947589</v>
      </c>
      <c r="F2676" s="2158">
        <v>94.808095807246005</v>
      </c>
      <c r="G2676" s="2159">
        <v>3.3419875218619799</v>
      </c>
    </row>
    <row r="2677" spans="1:7" x14ac:dyDescent="0.3">
      <c r="A2677" s="6" t="s">
        <v>1015</v>
      </c>
      <c r="B2677" s="6" t="s">
        <v>1016</v>
      </c>
      <c r="C2677" s="2152">
        <v>12</v>
      </c>
      <c r="D2677" s="2152">
        <v>860.996781214767</v>
      </c>
      <c r="E2677" s="2153">
        <v>455.29439183609202</v>
      </c>
      <c r="F2677" s="2154">
        <v>5.1919041927540102</v>
      </c>
      <c r="G2677" s="2155">
        <v>3.3419875218619799</v>
      </c>
    </row>
    <row r="2678" spans="1:7" x14ac:dyDescent="0.3">
      <c r="A2678" s="11" t="s">
        <v>6354</v>
      </c>
      <c r="B2678" s="11" t="s">
        <v>6355</v>
      </c>
      <c r="C2678" s="2156">
        <v>2088</v>
      </c>
      <c r="D2678" s="2156">
        <v>603314.80178193201</v>
      </c>
      <c r="E2678" s="2157">
        <v>10900.3831658568</v>
      </c>
      <c r="F2678" s="2158">
        <v>97.324811139875905</v>
      </c>
      <c r="G2678" s="2159">
        <v>0.75452042934641395</v>
      </c>
    </row>
    <row r="2679" spans="1:7" x14ac:dyDescent="0.3">
      <c r="A2679" s="6" t="s">
        <v>6354</v>
      </c>
      <c r="B2679" s="6" t="s">
        <v>6356</v>
      </c>
      <c r="C2679" s="2152">
        <v>2146</v>
      </c>
      <c r="D2679" s="2152">
        <v>619898.25072955305</v>
      </c>
      <c r="E2679" s="2153">
        <v>0</v>
      </c>
      <c r="F2679" s="2154">
        <v>100</v>
      </c>
      <c r="G2679" s="2155">
        <v>0</v>
      </c>
    </row>
    <row r="2680" spans="1:7" x14ac:dyDescent="0.3">
      <c r="A2680" s="3449" t="s">
        <v>435</v>
      </c>
      <c r="B2680" s="3450"/>
      <c r="C2680" s="3450"/>
      <c r="D2680" s="3450"/>
      <c r="E2680" s="3450"/>
      <c r="F2680" s="3450"/>
      <c r="G2680" s="3450"/>
    </row>
    <row r="2681" spans="1:7" x14ac:dyDescent="0.3">
      <c r="A2681" s="11" t="s">
        <v>1019</v>
      </c>
      <c r="B2681" s="11" t="s">
        <v>1020</v>
      </c>
      <c r="C2681" s="2164">
        <v>2179</v>
      </c>
      <c r="D2681" s="2164">
        <v>619898.25072955503</v>
      </c>
      <c r="E2681" s="2165">
        <v>8816.4550720352599</v>
      </c>
      <c r="F2681" s="2166">
        <v>100</v>
      </c>
      <c r="G2681" s="2167">
        <v>0</v>
      </c>
    </row>
    <row r="2682" spans="1:7" x14ac:dyDescent="0.3">
      <c r="A2682" s="6" t="s">
        <v>6354</v>
      </c>
      <c r="B2682" s="6" t="s">
        <v>6355</v>
      </c>
      <c r="C2682" s="2160">
        <v>0</v>
      </c>
      <c r="D2682" s="2160">
        <v>0</v>
      </c>
      <c r="E2682" s="2161">
        <v>0</v>
      </c>
      <c r="F2682" s="2162">
        <v>0</v>
      </c>
      <c r="G2682" s="2163">
        <v>0</v>
      </c>
    </row>
    <row r="2683" spans="1:7" x14ac:dyDescent="0.3">
      <c r="A2683" s="11" t="s">
        <v>6354</v>
      </c>
      <c r="B2683" s="11" t="s">
        <v>6356</v>
      </c>
      <c r="C2683" s="2164">
        <v>2179</v>
      </c>
      <c r="D2683" s="2164">
        <v>619898.25072955503</v>
      </c>
      <c r="E2683" s="2165">
        <v>0</v>
      </c>
      <c r="F2683" s="2166">
        <v>100</v>
      </c>
      <c r="G2683" s="2167">
        <v>0</v>
      </c>
    </row>
    <row r="2684" spans="1:7" x14ac:dyDescent="0.3">
      <c r="A2684" s="3449" t="s">
        <v>199</v>
      </c>
      <c r="B2684" s="3450"/>
      <c r="C2684" s="3450"/>
      <c r="D2684" s="3450"/>
      <c r="E2684" s="3450"/>
      <c r="F2684" s="3450"/>
      <c r="G2684" s="3450"/>
    </row>
    <row r="2685" spans="1:7" x14ac:dyDescent="0.3">
      <c r="A2685" s="11" t="s">
        <v>1021</v>
      </c>
      <c r="B2685" s="11" t="s">
        <v>1215</v>
      </c>
      <c r="C2685" s="2172">
        <v>2075</v>
      </c>
      <c r="D2685" s="2172">
        <v>595809.60513965995</v>
      </c>
      <c r="E2685" s="2173">
        <v>8130.8674552040302</v>
      </c>
      <c r="F2685" s="2174">
        <v>96.119208513138503</v>
      </c>
      <c r="G2685" s="2175">
        <v>0.78368811649037295</v>
      </c>
    </row>
    <row r="2686" spans="1:7" x14ac:dyDescent="0.3">
      <c r="A2686" s="6" t="s">
        <v>1023</v>
      </c>
      <c r="B2686" s="6" t="s">
        <v>1216</v>
      </c>
      <c r="C2686" s="2168">
        <v>73</v>
      </c>
      <c r="D2686" s="2168">
        <v>16204.362444529799</v>
      </c>
      <c r="E2686" s="2169">
        <v>4423.6899854130897</v>
      </c>
      <c r="F2686" s="2170">
        <v>2.6141748625605601</v>
      </c>
      <c r="G2686" s="2171">
        <v>0.71139576482783895</v>
      </c>
    </row>
    <row r="2687" spans="1:7" x14ac:dyDescent="0.3">
      <c r="A2687" s="11" t="s">
        <v>1025</v>
      </c>
      <c r="B2687" s="11" t="s">
        <v>1217</v>
      </c>
      <c r="C2687" s="2172">
        <v>25</v>
      </c>
      <c r="D2687" s="2172">
        <v>7229.8527585696702</v>
      </c>
      <c r="E2687" s="2173">
        <v>2694.63104540216</v>
      </c>
      <c r="F2687" s="2174">
        <v>1.1663587139676199</v>
      </c>
      <c r="G2687" s="2175">
        <v>0.42558215165651297</v>
      </c>
    </row>
    <row r="2688" spans="1:7" x14ac:dyDescent="0.3">
      <c r="A2688" s="6" t="s">
        <v>1052</v>
      </c>
      <c r="B2688" s="6" t="s">
        <v>1218</v>
      </c>
      <c r="C2688" s="2168">
        <v>4</v>
      </c>
      <c r="D2688" s="2168">
        <v>621.463980944637</v>
      </c>
      <c r="E2688" s="2169">
        <v>394.47492536234699</v>
      </c>
      <c r="F2688" s="2170">
        <v>0.10025791033332</v>
      </c>
      <c r="G2688" s="2171">
        <v>6.3046238949051106E-2</v>
      </c>
    </row>
    <row r="2689" spans="1:7" x14ac:dyDescent="0.3">
      <c r="A2689" s="11" t="s">
        <v>1017</v>
      </c>
      <c r="B2689" s="11" t="s">
        <v>1086</v>
      </c>
      <c r="C2689" s="2172">
        <v>1</v>
      </c>
      <c r="D2689" s="2172">
        <v>32.966405850032999</v>
      </c>
      <c r="E2689" s="2173">
        <v>34.203728214745801</v>
      </c>
      <c r="F2689" s="2174">
        <v>100</v>
      </c>
      <c r="G2689" s="2175" t="e">
        <v>#NUM!</v>
      </c>
    </row>
    <row r="2690" spans="1:7" x14ac:dyDescent="0.3">
      <c r="A2690" s="6" t="s">
        <v>6354</v>
      </c>
      <c r="B2690" s="6" t="s">
        <v>6355</v>
      </c>
      <c r="C2690" s="2168">
        <v>2177</v>
      </c>
      <c r="D2690" s="2168">
        <v>619865.28432370396</v>
      </c>
      <c r="E2690" s="2169">
        <v>8800.5525513494304</v>
      </c>
      <c r="F2690" s="2170">
        <v>99.994681965014195</v>
      </c>
      <c r="G2690" s="2171">
        <v>5.5224280916247401E-3</v>
      </c>
    </row>
    <row r="2691" spans="1:7" x14ac:dyDescent="0.3">
      <c r="A2691" s="11" t="s">
        <v>6354</v>
      </c>
      <c r="B2691" s="11" t="s">
        <v>6356</v>
      </c>
      <c r="C2691" s="2172">
        <v>2178</v>
      </c>
      <c r="D2691" s="2172">
        <v>619898.25072955398</v>
      </c>
      <c r="E2691" s="2173">
        <v>0</v>
      </c>
      <c r="F2691" s="2174">
        <v>100</v>
      </c>
      <c r="G2691" s="2175">
        <v>0</v>
      </c>
    </row>
    <row r="2692" spans="1:7" x14ac:dyDescent="0.3">
      <c r="A2692" s="3449" t="s">
        <v>202</v>
      </c>
      <c r="B2692" s="3450"/>
      <c r="C2692" s="3450"/>
      <c r="D2692" s="3450"/>
      <c r="E2692" s="3450"/>
      <c r="F2692" s="3450"/>
      <c r="G2692" s="3450"/>
    </row>
    <row r="2693" spans="1:7" x14ac:dyDescent="0.3">
      <c r="A2693" s="11" t="s">
        <v>6560</v>
      </c>
      <c r="B2693" s="11"/>
      <c r="C2693" s="2180">
        <v>1</v>
      </c>
      <c r="D2693" s="2180">
        <v>322.33442829354402</v>
      </c>
      <c r="E2693" s="2181">
        <v>323.66997442630401</v>
      </c>
      <c r="F2693" s="2182">
        <v>51.8669525792291</v>
      </c>
      <c r="G2693" s="2183">
        <v>53.248603069862803</v>
      </c>
    </row>
    <row r="2694" spans="1:7" x14ac:dyDescent="0.3">
      <c r="A2694" s="6" t="s">
        <v>6561</v>
      </c>
      <c r="B2694" s="6"/>
      <c r="C2694" s="2176">
        <v>1</v>
      </c>
      <c r="D2694" s="2176">
        <v>184.37470225637901</v>
      </c>
      <c r="E2694" s="2177">
        <v>191.36854516934</v>
      </c>
      <c r="F2694" s="2178">
        <v>29.6678018211331</v>
      </c>
      <c r="G2694" s="2179">
        <v>47.622104606429097</v>
      </c>
    </row>
    <row r="2695" spans="1:7" x14ac:dyDescent="0.3">
      <c r="A2695" s="11" t="s">
        <v>6562</v>
      </c>
      <c r="B2695" s="11"/>
      <c r="C2695" s="2180">
        <v>1</v>
      </c>
      <c r="D2695" s="2180">
        <v>59.244482876496598</v>
      </c>
      <c r="E2695" s="2181">
        <v>60.154312867409402</v>
      </c>
      <c r="F2695" s="2182">
        <v>9.5330517444380103</v>
      </c>
      <c r="G2695" s="2183">
        <v>9.6200080576758609</v>
      </c>
    </row>
    <row r="2696" spans="1:7" x14ac:dyDescent="0.3">
      <c r="A2696" s="6" t="s">
        <v>6563</v>
      </c>
      <c r="B2696" s="6"/>
      <c r="C2696" s="2176">
        <v>1</v>
      </c>
      <c r="D2696" s="2176">
        <v>55.5103675182174</v>
      </c>
      <c r="E2696" s="2177">
        <v>57.696780295023302</v>
      </c>
      <c r="F2696" s="2178">
        <v>8.9321938551998805</v>
      </c>
      <c r="G2696" s="2179">
        <v>20.5071730482601</v>
      </c>
    </row>
    <row r="2697" spans="1:7" x14ac:dyDescent="0.3">
      <c r="A2697" s="11" t="s">
        <v>1019</v>
      </c>
      <c r="B2697" s="11" t="s">
        <v>1020</v>
      </c>
      <c r="C2697" s="2180">
        <v>2175</v>
      </c>
      <c r="D2697" s="2180">
        <v>619276.78674860997</v>
      </c>
      <c r="E2697" s="2181">
        <v>8550.3087887213605</v>
      </c>
      <c r="F2697" s="2182">
        <v>100</v>
      </c>
      <c r="G2697" s="2183">
        <v>0</v>
      </c>
    </row>
    <row r="2698" spans="1:7" x14ac:dyDescent="0.3">
      <c r="A2698" s="6" t="s">
        <v>6354</v>
      </c>
      <c r="B2698" s="6" t="s">
        <v>6355</v>
      </c>
      <c r="C2698" s="2176">
        <v>4</v>
      </c>
      <c r="D2698" s="2176">
        <v>621.463980944637</v>
      </c>
      <c r="E2698" s="2177">
        <v>394.47492536234699</v>
      </c>
      <c r="F2698" s="2178">
        <v>0.100252578582572</v>
      </c>
      <c r="G2698" s="2179">
        <v>6.3040256459614502E-2</v>
      </c>
    </row>
    <row r="2699" spans="1:7" x14ac:dyDescent="0.3">
      <c r="A2699" s="11" t="s">
        <v>6354</v>
      </c>
      <c r="B2699" s="11" t="s">
        <v>6356</v>
      </c>
      <c r="C2699" s="2180">
        <v>2179</v>
      </c>
      <c r="D2699" s="2180">
        <v>619898.25072955503</v>
      </c>
      <c r="E2699" s="2181">
        <v>0</v>
      </c>
      <c r="F2699" s="2182">
        <v>100</v>
      </c>
      <c r="G2699" s="2183">
        <v>0</v>
      </c>
    </row>
    <row r="2700" spans="1:7" x14ac:dyDescent="0.3">
      <c r="A2700" s="3449" t="s">
        <v>866</v>
      </c>
      <c r="B2700" s="3450"/>
      <c r="C2700" s="3450"/>
      <c r="D2700" s="3450"/>
      <c r="E2700" s="3450"/>
      <c r="F2700" s="3450"/>
      <c r="G2700" s="3450"/>
    </row>
    <row r="2701" spans="1:7" x14ac:dyDescent="0.3">
      <c r="A2701" s="11" t="s">
        <v>1021</v>
      </c>
      <c r="B2701" s="11" t="s">
        <v>6198</v>
      </c>
      <c r="C2701" s="2188">
        <v>925</v>
      </c>
      <c r="D2701" s="2188">
        <v>290422.77868100803</v>
      </c>
      <c r="E2701" s="2189">
        <v>5810.6415692740002</v>
      </c>
      <c r="F2701" s="2190">
        <v>46.855502282366103</v>
      </c>
      <c r="G2701" s="2191">
        <v>0.97972832863357395</v>
      </c>
    </row>
    <row r="2702" spans="1:7" x14ac:dyDescent="0.3">
      <c r="A2702" s="6" t="s">
        <v>1025</v>
      </c>
      <c r="B2702" s="6" t="s">
        <v>6200</v>
      </c>
      <c r="C2702" s="2184">
        <v>523</v>
      </c>
      <c r="D2702" s="2184">
        <v>160084.44597644199</v>
      </c>
      <c r="E2702" s="2185">
        <v>5859.0136068064703</v>
      </c>
      <c r="F2702" s="2186">
        <v>25.8273030713585</v>
      </c>
      <c r="G2702" s="2187">
        <v>0.76270760614829802</v>
      </c>
    </row>
    <row r="2703" spans="1:7" x14ac:dyDescent="0.3">
      <c r="A2703" s="11" t="s">
        <v>1027</v>
      </c>
      <c r="B2703" s="11" t="s">
        <v>6201</v>
      </c>
      <c r="C2703" s="2188">
        <v>517</v>
      </c>
      <c r="D2703" s="2188">
        <v>113714.844540915</v>
      </c>
      <c r="E2703" s="2189">
        <v>8687.0092397757599</v>
      </c>
      <c r="F2703" s="2190">
        <v>18.346240546710099</v>
      </c>
      <c r="G2703" s="2191">
        <v>1.4040487552596199</v>
      </c>
    </row>
    <row r="2704" spans="1:7" x14ac:dyDescent="0.3">
      <c r="A2704" s="6" t="s">
        <v>1023</v>
      </c>
      <c r="B2704" s="6" t="s">
        <v>6199</v>
      </c>
      <c r="C2704" s="2184">
        <v>95</v>
      </c>
      <c r="D2704" s="2184">
        <v>30752.4775563441</v>
      </c>
      <c r="E2704" s="2185">
        <v>5631.2341162310404</v>
      </c>
      <c r="F2704" s="2186">
        <v>4.9614661386886603</v>
      </c>
      <c r="G2704" s="2187">
        <v>0.88453658166164495</v>
      </c>
    </row>
    <row r="2705" spans="1:7" x14ac:dyDescent="0.3">
      <c r="A2705" s="11" t="s">
        <v>1040</v>
      </c>
      <c r="B2705" s="11" t="s">
        <v>6204</v>
      </c>
      <c r="C2705" s="2188">
        <v>82</v>
      </c>
      <c r="D2705" s="2188">
        <v>20303.347915214199</v>
      </c>
      <c r="E2705" s="2189">
        <v>6832.1376974058503</v>
      </c>
      <c r="F2705" s="2190">
        <v>3.2756506528225802</v>
      </c>
      <c r="G2705" s="2191">
        <v>1.0964594869098001</v>
      </c>
    </row>
    <row r="2706" spans="1:7" x14ac:dyDescent="0.3">
      <c r="A2706" s="6" t="s">
        <v>1031</v>
      </c>
      <c r="B2706" s="6" t="s">
        <v>6203</v>
      </c>
      <c r="C2706" s="2184">
        <v>24</v>
      </c>
      <c r="D2706" s="2184">
        <v>3299.0890490275401</v>
      </c>
      <c r="E2706" s="2185">
        <v>971.97518115122796</v>
      </c>
      <c r="F2706" s="2186">
        <v>0.53226015937346804</v>
      </c>
      <c r="G2706" s="2187">
        <v>0.159648025281593</v>
      </c>
    </row>
    <row r="2707" spans="1:7" x14ac:dyDescent="0.3">
      <c r="A2707" s="11" t="s">
        <v>1029</v>
      </c>
      <c r="B2707" s="11" t="s">
        <v>6202</v>
      </c>
      <c r="C2707" s="2188">
        <v>8</v>
      </c>
      <c r="D2707" s="2188">
        <v>836.96005748064499</v>
      </c>
      <c r="E2707" s="2189">
        <v>260.75770803708099</v>
      </c>
      <c r="F2707" s="2190">
        <v>0.13503136379880001</v>
      </c>
      <c r="G2707" s="2191">
        <v>4.2404791856389103E-2</v>
      </c>
    </row>
    <row r="2708" spans="1:7" x14ac:dyDescent="0.3">
      <c r="A2708" s="6" t="s">
        <v>1052</v>
      </c>
      <c r="B2708" s="6" t="s">
        <v>6149</v>
      </c>
      <c r="C2708" s="2184">
        <v>4</v>
      </c>
      <c r="D2708" s="2184">
        <v>412.46835085419002</v>
      </c>
      <c r="E2708" s="2185">
        <v>250.74452652997999</v>
      </c>
      <c r="F2708" s="2186">
        <v>6.6545784881701195E-2</v>
      </c>
      <c r="G2708" s="2187">
        <v>4.06031648262178E-2</v>
      </c>
    </row>
    <row r="2709" spans="1:7" x14ac:dyDescent="0.3">
      <c r="A2709" s="11" t="s">
        <v>1017</v>
      </c>
      <c r="B2709" s="11" t="s">
        <v>1086</v>
      </c>
      <c r="C2709" s="2188">
        <v>1</v>
      </c>
      <c r="D2709" s="2188">
        <v>71.838602267605395</v>
      </c>
      <c r="E2709" s="2189">
        <v>94.293039157974206</v>
      </c>
      <c r="F2709" s="2190">
        <v>100</v>
      </c>
      <c r="G2709" s="2191" t="e">
        <v>#NUM!</v>
      </c>
    </row>
    <row r="2710" spans="1:7" x14ac:dyDescent="0.3">
      <c r="A2710" s="6" t="s">
        <v>6354</v>
      </c>
      <c r="B2710" s="6" t="s">
        <v>6355</v>
      </c>
      <c r="C2710" s="2184">
        <v>2178</v>
      </c>
      <c r="D2710" s="2184">
        <v>619826.41212728503</v>
      </c>
      <c r="E2710" s="2185">
        <v>8762.8330987304998</v>
      </c>
      <c r="F2710" s="2186">
        <v>99.9884112268129</v>
      </c>
      <c r="G2710" s="2187">
        <v>1.5126313424169299E-2</v>
      </c>
    </row>
    <row r="2711" spans="1:7" x14ac:dyDescent="0.3">
      <c r="A2711" s="11" t="s">
        <v>6354</v>
      </c>
      <c r="B2711" s="11" t="s">
        <v>6356</v>
      </c>
      <c r="C2711" s="2188">
        <v>2179</v>
      </c>
      <c r="D2711" s="2188">
        <v>619898.250729552</v>
      </c>
      <c r="E2711" s="2189">
        <v>0</v>
      </c>
      <c r="F2711" s="2190">
        <v>100</v>
      </c>
      <c r="G2711" s="2191">
        <v>0</v>
      </c>
    </row>
    <row r="2712" spans="1:7" x14ac:dyDescent="0.3">
      <c r="A2712" s="3449" t="s">
        <v>863</v>
      </c>
      <c r="B2712" s="3450"/>
      <c r="C2712" s="3450"/>
      <c r="D2712" s="3450"/>
      <c r="E2712" s="3450"/>
      <c r="F2712" s="3450"/>
      <c r="G2712" s="3450"/>
    </row>
    <row r="2713" spans="1:7" x14ac:dyDescent="0.3">
      <c r="A2713" s="11" t="s">
        <v>6564</v>
      </c>
      <c r="B2713" s="11"/>
      <c r="C2713" s="2196">
        <v>4</v>
      </c>
      <c r="D2713" s="2196">
        <v>412.46835085419002</v>
      </c>
      <c r="E2713" s="2197">
        <v>250.74452652997999</v>
      </c>
      <c r="F2713" s="2198">
        <v>100</v>
      </c>
      <c r="G2713" s="2199">
        <v>0</v>
      </c>
    </row>
    <row r="2714" spans="1:7" x14ac:dyDescent="0.3">
      <c r="A2714" s="6" t="s">
        <v>1019</v>
      </c>
      <c r="B2714" s="6" t="s">
        <v>1020</v>
      </c>
      <c r="C2714" s="2192">
        <v>2175</v>
      </c>
      <c r="D2714" s="2192">
        <v>619485.78237870103</v>
      </c>
      <c r="E2714" s="2193">
        <v>8859.7748801505604</v>
      </c>
      <c r="F2714" s="2194">
        <v>100</v>
      </c>
      <c r="G2714" s="2195">
        <v>0</v>
      </c>
    </row>
    <row r="2715" spans="1:7" x14ac:dyDescent="0.3">
      <c r="A2715" s="11" t="s">
        <v>6354</v>
      </c>
      <c r="B2715" s="11" t="s">
        <v>6355</v>
      </c>
      <c r="C2715" s="2196">
        <v>4</v>
      </c>
      <c r="D2715" s="2196">
        <v>412.46835085419002</v>
      </c>
      <c r="E2715" s="2197">
        <v>250.74452652997999</v>
      </c>
      <c r="F2715" s="2198">
        <v>6.6538073041625401E-2</v>
      </c>
      <c r="G2715" s="2199">
        <v>4.0601382913957797E-2</v>
      </c>
    </row>
    <row r="2716" spans="1:7" x14ac:dyDescent="0.3">
      <c r="A2716" s="6" t="s">
        <v>6354</v>
      </c>
      <c r="B2716" s="6" t="s">
        <v>6356</v>
      </c>
      <c r="C2716" s="2192">
        <v>2179</v>
      </c>
      <c r="D2716" s="2192">
        <v>619898.25072955503</v>
      </c>
      <c r="E2716" s="2193">
        <v>0</v>
      </c>
      <c r="F2716" s="2194">
        <v>100</v>
      </c>
      <c r="G2716" s="2195">
        <v>0</v>
      </c>
    </row>
    <row r="2717" spans="1:7" x14ac:dyDescent="0.3">
      <c r="A2717" s="3449" t="s">
        <v>929</v>
      </c>
      <c r="B2717" s="3450"/>
      <c r="C2717" s="3450"/>
      <c r="D2717" s="3450"/>
      <c r="E2717" s="3450"/>
      <c r="F2717" s="3450"/>
      <c r="G2717" s="3450"/>
    </row>
    <row r="2718" spans="1:7" x14ac:dyDescent="0.3">
      <c r="A2718" s="11" t="s">
        <v>1021</v>
      </c>
      <c r="B2718" s="11" t="s">
        <v>3063</v>
      </c>
      <c r="C2718" s="2204">
        <v>1275</v>
      </c>
      <c r="D2718" s="2204">
        <v>340491.13928677299</v>
      </c>
      <c r="E2718" s="2205">
        <v>8374.6977282601292</v>
      </c>
      <c r="F2718" s="2206">
        <v>55.116149066104299</v>
      </c>
      <c r="G2718" s="2207">
        <v>1.5061013705751101</v>
      </c>
    </row>
    <row r="2719" spans="1:7" x14ac:dyDescent="0.3">
      <c r="A2719" s="6" t="s">
        <v>1023</v>
      </c>
      <c r="B2719" s="6" t="s">
        <v>3064</v>
      </c>
      <c r="C2719" s="2200">
        <v>698</v>
      </c>
      <c r="D2719" s="2200">
        <v>205531.89965913101</v>
      </c>
      <c r="E2719" s="2201">
        <v>8007.1726025105299</v>
      </c>
      <c r="F2719" s="2202">
        <v>33.2699606902586</v>
      </c>
      <c r="G2719" s="2203">
        <v>1.1852570249524601</v>
      </c>
    </row>
    <row r="2720" spans="1:7" x14ac:dyDescent="0.3">
      <c r="A2720" s="11" t="s">
        <v>1025</v>
      </c>
      <c r="B2720" s="11" t="s">
        <v>3065</v>
      </c>
      <c r="C2720" s="2204">
        <v>112</v>
      </c>
      <c r="D2720" s="2204">
        <v>44395.946845641403</v>
      </c>
      <c r="E2720" s="2205">
        <v>5203.1843062184098</v>
      </c>
      <c r="F2720" s="2206">
        <v>7.1864825305022997</v>
      </c>
      <c r="G2720" s="2207">
        <v>0.80511042467870497</v>
      </c>
    </row>
    <row r="2721" spans="1:7" x14ac:dyDescent="0.3">
      <c r="A2721" s="6" t="s">
        <v>1027</v>
      </c>
      <c r="B2721" s="6" t="s">
        <v>3066</v>
      </c>
      <c r="C2721" s="2200">
        <v>28</v>
      </c>
      <c r="D2721" s="2200">
        <v>11874.6597851113</v>
      </c>
      <c r="E2721" s="2201">
        <v>2341.07488077269</v>
      </c>
      <c r="F2721" s="2202">
        <v>1.9221807656916401</v>
      </c>
      <c r="G2721" s="2203">
        <v>0.36174616473226401</v>
      </c>
    </row>
    <row r="2722" spans="1:7" x14ac:dyDescent="0.3">
      <c r="A2722" s="11" t="s">
        <v>1052</v>
      </c>
      <c r="B2722" s="11" t="s">
        <v>6210</v>
      </c>
      <c r="C2722" s="2204">
        <v>46</v>
      </c>
      <c r="D2722" s="2204">
        <v>8728.2226663535494</v>
      </c>
      <c r="E2722" s="2205">
        <v>1688.44344704133</v>
      </c>
      <c r="F2722" s="2206">
        <v>1.4128591497816401</v>
      </c>
      <c r="G2722" s="2207">
        <v>0.26560126741562701</v>
      </c>
    </row>
    <row r="2723" spans="1:7" x14ac:dyDescent="0.3">
      <c r="A2723" s="6" t="s">
        <v>1029</v>
      </c>
      <c r="B2723" s="6" t="s">
        <v>3067</v>
      </c>
      <c r="C2723" s="2200">
        <v>8</v>
      </c>
      <c r="D2723" s="2200">
        <v>4962.1080366441302</v>
      </c>
      <c r="E2723" s="2201">
        <v>2478.8883992446899</v>
      </c>
      <c r="F2723" s="2202">
        <v>0.80322879121811097</v>
      </c>
      <c r="G2723" s="2203">
        <v>0.39639812315019102</v>
      </c>
    </row>
    <row r="2724" spans="1:7" x14ac:dyDescent="0.3">
      <c r="A2724" s="11" t="s">
        <v>1031</v>
      </c>
      <c r="B2724" s="11" t="s">
        <v>3068</v>
      </c>
      <c r="C2724" s="2204">
        <v>3</v>
      </c>
      <c r="D2724" s="2204">
        <v>1786.2145919900299</v>
      </c>
      <c r="E2724" s="2205">
        <v>1244.9972124461001</v>
      </c>
      <c r="F2724" s="2206">
        <v>0.28913900644344198</v>
      </c>
      <c r="G2724" s="2207">
        <v>0.20032624882862801</v>
      </c>
    </row>
    <row r="2725" spans="1:7" x14ac:dyDescent="0.3">
      <c r="A2725" s="6" t="s">
        <v>1015</v>
      </c>
      <c r="B2725" s="6" t="s">
        <v>1016</v>
      </c>
      <c r="C2725" s="2200">
        <v>2</v>
      </c>
      <c r="D2725" s="2200">
        <v>1753.2501217614299</v>
      </c>
      <c r="E2725" s="2201">
        <v>1810.79749537151</v>
      </c>
      <c r="F2725" s="2202">
        <v>82.387255943274198</v>
      </c>
      <c r="G2725" s="2203">
        <v>77.664778626327106</v>
      </c>
    </row>
    <row r="2726" spans="1:7" x14ac:dyDescent="0.3">
      <c r="A2726" s="11" t="s">
        <v>1017</v>
      </c>
      <c r="B2726" s="11" t="s">
        <v>1018</v>
      </c>
      <c r="C2726" s="2204">
        <v>7</v>
      </c>
      <c r="D2726" s="2204">
        <v>374.809736147406</v>
      </c>
      <c r="E2726" s="2205">
        <v>366.42818950763501</v>
      </c>
      <c r="F2726" s="2206">
        <v>17.612744056725798</v>
      </c>
      <c r="G2726" s="2207">
        <v>77.664778626327106</v>
      </c>
    </row>
    <row r="2727" spans="1:7" x14ac:dyDescent="0.3">
      <c r="A2727" s="6" t="s">
        <v>6354</v>
      </c>
      <c r="B2727" s="6" t="s">
        <v>6355</v>
      </c>
      <c r="C2727" s="2200">
        <v>2170</v>
      </c>
      <c r="D2727" s="2200">
        <v>617770.19087164395</v>
      </c>
      <c r="E2727" s="2201">
        <v>9686.06330412032</v>
      </c>
      <c r="F2727" s="2202">
        <v>99.656708200837102</v>
      </c>
      <c r="G2727" s="2203">
        <v>0.30620706408397802</v>
      </c>
    </row>
    <row r="2728" spans="1:7" x14ac:dyDescent="0.3">
      <c r="A2728" s="11" t="s">
        <v>6354</v>
      </c>
      <c r="B2728" s="11" t="s">
        <v>6356</v>
      </c>
      <c r="C2728" s="2204">
        <v>2179</v>
      </c>
      <c r="D2728" s="2204">
        <v>619898.25072955305</v>
      </c>
      <c r="E2728" s="2205">
        <v>0</v>
      </c>
      <c r="F2728" s="2206">
        <v>100</v>
      </c>
      <c r="G2728" s="2207">
        <v>0</v>
      </c>
    </row>
    <row r="2729" spans="1:7" x14ac:dyDescent="0.3">
      <c r="A2729" s="3449" t="s">
        <v>475</v>
      </c>
      <c r="B2729" s="3450"/>
      <c r="C2729" s="3450"/>
      <c r="D2729" s="3450"/>
      <c r="E2729" s="3450"/>
      <c r="F2729" s="3450"/>
      <c r="G2729" s="3450"/>
    </row>
    <row r="2730" spans="1:7" x14ac:dyDescent="0.3">
      <c r="A2730" s="11" t="s">
        <v>1213</v>
      </c>
      <c r="B2730" s="11" t="s">
        <v>1092</v>
      </c>
      <c r="C2730" s="2212">
        <v>290</v>
      </c>
      <c r="D2730" s="2212">
        <v>92156.000402915495</v>
      </c>
      <c r="E2730" s="2213">
        <v>13495.8201942143</v>
      </c>
      <c r="F2730" s="2214">
        <v>74.234967500050104</v>
      </c>
      <c r="G2730" s="2215">
        <v>7.2590958446499396</v>
      </c>
    </row>
    <row r="2731" spans="1:7" x14ac:dyDescent="0.3">
      <c r="A2731" s="6" t="s">
        <v>1214</v>
      </c>
      <c r="B2731" s="6" t="s">
        <v>1018</v>
      </c>
      <c r="C2731" s="2208">
        <v>65</v>
      </c>
      <c r="D2731" s="2208">
        <v>31862.963348908201</v>
      </c>
      <c r="E2731" s="2209">
        <v>11006.257650646599</v>
      </c>
      <c r="F2731" s="2210">
        <v>25.666761125916398</v>
      </c>
      <c r="G2731" s="2211">
        <v>7.2358905129489504</v>
      </c>
    </row>
    <row r="2732" spans="1:7" x14ac:dyDescent="0.3">
      <c r="A2732" s="11" t="s">
        <v>1015</v>
      </c>
      <c r="B2732" s="11" t="s">
        <v>1092</v>
      </c>
      <c r="C2732" s="2212">
        <v>1</v>
      </c>
      <c r="D2732" s="2212">
        <v>121.995025929218</v>
      </c>
      <c r="E2732" s="2213">
        <v>129.0462938762</v>
      </c>
      <c r="F2732" s="2214">
        <v>9.8271374033467307E-2</v>
      </c>
      <c r="G2732" s="2215">
        <v>0.102901916555971</v>
      </c>
    </row>
    <row r="2733" spans="1:7" x14ac:dyDescent="0.3">
      <c r="A2733" s="6" t="s">
        <v>6354</v>
      </c>
      <c r="B2733" s="6" t="s">
        <v>6355</v>
      </c>
      <c r="C2733" s="2208">
        <v>1634</v>
      </c>
      <c r="D2733" s="2208">
        <v>495757.2919518</v>
      </c>
      <c r="E2733" s="2209">
        <v>15550.9418852871</v>
      </c>
      <c r="F2733" s="2210">
        <v>79.973978208253897</v>
      </c>
      <c r="G2733" s="2211">
        <v>2.7177897633573598</v>
      </c>
    </row>
    <row r="2734" spans="1:7" x14ac:dyDescent="0.3">
      <c r="A2734" s="11" t="s">
        <v>6354</v>
      </c>
      <c r="B2734" s="11" t="s">
        <v>6356</v>
      </c>
      <c r="C2734" s="2212">
        <v>1990</v>
      </c>
      <c r="D2734" s="2212">
        <v>619898.25072955305</v>
      </c>
      <c r="E2734" s="2213">
        <v>0</v>
      </c>
      <c r="F2734" s="2214">
        <v>100</v>
      </c>
      <c r="G2734" s="2215">
        <v>0</v>
      </c>
    </row>
    <row r="2735" spans="1:7" x14ac:dyDescent="0.3">
      <c r="A2735" s="3449" t="s">
        <v>463</v>
      </c>
      <c r="B2735" s="3450"/>
      <c r="C2735" s="3450"/>
      <c r="D2735" s="3450"/>
      <c r="E2735" s="3450"/>
      <c r="F2735" s="3450"/>
      <c r="G2735" s="3450"/>
    </row>
    <row r="2736" spans="1:7" x14ac:dyDescent="0.3">
      <c r="A2736" s="11" t="s">
        <v>1019</v>
      </c>
      <c r="B2736" s="11" t="s">
        <v>1020</v>
      </c>
      <c r="C2736" s="2220">
        <v>356</v>
      </c>
      <c r="D2736" s="2220">
        <v>124140.958777753</v>
      </c>
      <c r="E2736" s="2221">
        <v>17668.477209635599</v>
      </c>
      <c r="F2736" s="2222">
        <v>74.779679701277303</v>
      </c>
      <c r="G2736" s="2223">
        <v>4.5745696523833104</v>
      </c>
    </row>
    <row r="2737" spans="1:7" x14ac:dyDescent="0.3">
      <c r="A2737" s="6" t="s">
        <v>1213</v>
      </c>
      <c r="B2737" s="6" t="s">
        <v>1016</v>
      </c>
      <c r="C2737" s="2216">
        <v>145</v>
      </c>
      <c r="D2737" s="2216">
        <v>38558.9537954591</v>
      </c>
      <c r="E2737" s="2217">
        <v>4942.6788692513001</v>
      </c>
      <c r="F2737" s="2218">
        <v>23.227033549844901</v>
      </c>
      <c r="G2737" s="2219">
        <v>4.0103013902669797</v>
      </c>
    </row>
    <row r="2738" spans="1:7" x14ac:dyDescent="0.3">
      <c r="A2738" s="11" t="s">
        <v>1214</v>
      </c>
      <c r="B2738" s="11" t="s">
        <v>1018</v>
      </c>
      <c r="C2738" s="2220">
        <v>11</v>
      </c>
      <c r="D2738" s="2220">
        <v>2871.35263259155</v>
      </c>
      <c r="E2738" s="2221">
        <v>1937.2921588494901</v>
      </c>
      <c r="F2738" s="2222">
        <v>1.7296372791757</v>
      </c>
      <c r="G2738" s="2223">
        <v>1.23382620818809</v>
      </c>
    </row>
    <row r="2739" spans="1:7" x14ac:dyDescent="0.3">
      <c r="A2739" s="6" t="s">
        <v>1015</v>
      </c>
      <c r="B2739" s="6" t="s">
        <v>1016</v>
      </c>
      <c r="C2739" s="2216">
        <v>1</v>
      </c>
      <c r="D2739" s="2216">
        <v>437.68170819677499</v>
      </c>
      <c r="E2739" s="2217">
        <v>458.183029247523</v>
      </c>
      <c r="F2739" s="2218">
        <v>0.26364946970208297</v>
      </c>
      <c r="G2739" s="2219">
        <v>0.279626225502489</v>
      </c>
    </row>
    <row r="2740" spans="1:7" x14ac:dyDescent="0.3">
      <c r="A2740" s="11" t="s">
        <v>6354</v>
      </c>
      <c r="B2740" s="11" t="s">
        <v>6355</v>
      </c>
      <c r="C2740" s="2220">
        <v>1596</v>
      </c>
      <c r="D2740" s="2220">
        <v>453889.30381555302</v>
      </c>
      <c r="E2740" s="2221">
        <v>14096.3933719619</v>
      </c>
      <c r="F2740" s="2222">
        <v>73.219968483759104</v>
      </c>
      <c r="G2740" s="2223">
        <v>2.1955253147390899</v>
      </c>
    </row>
    <row r="2741" spans="1:7" x14ac:dyDescent="0.3">
      <c r="A2741" s="6" t="s">
        <v>6354</v>
      </c>
      <c r="B2741" s="6" t="s">
        <v>6356</v>
      </c>
      <c r="C2741" s="2216">
        <v>2109</v>
      </c>
      <c r="D2741" s="2216">
        <v>619898.25072955305</v>
      </c>
      <c r="E2741" s="2217">
        <v>0</v>
      </c>
      <c r="F2741" s="2218">
        <v>100</v>
      </c>
      <c r="G2741" s="2219">
        <v>0</v>
      </c>
    </row>
    <row r="2742" spans="1:7" x14ac:dyDescent="0.3">
      <c r="A2742" s="3449" t="s">
        <v>478</v>
      </c>
      <c r="B2742" s="3450"/>
      <c r="C2742" s="3450"/>
      <c r="D2742" s="3450"/>
      <c r="E2742" s="3450"/>
      <c r="F2742" s="3450"/>
      <c r="G2742" s="3450"/>
    </row>
    <row r="2743" spans="1:7" x14ac:dyDescent="0.3">
      <c r="A2743" s="11" t="s">
        <v>6539</v>
      </c>
      <c r="B2743" s="11"/>
      <c r="C2743" s="2228">
        <v>1078</v>
      </c>
      <c r="D2743" s="2228">
        <v>319886.91952903802</v>
      </c>
      <c r="E2743" s="2229">
        <v>9347.8674707839891</v>
      </c>
      <c r="F2743" s="2230">
        <v>70.476857868197499</v>
      </c>
      <c r="G2743" s="2231">
        <v>1.6035379073178899</v>
      </c>
    </row>
    <row r="2744" spans="1:7" x14ac:dyDescent="0.3">
      <c r="A2744" s="6" t="s">
        <v>6546</v>
      </c>
      <c r="B2744" s="6"/>
      <c r="C2744" s="2224">
        <v>585</v>
      </c>
      <c r="D2744" s="2224">
        <v>133728.865694551</v>
      </c>
      <c r="E2744" s="2225">
        <v>9628.1142066352095</v>
      </c>
      <c r="F2744" s="2226">
        <v>29.462881052798298</v>
      </c>
      <c r="G2744" s="2227">
        <v>1.55549384157014</v>
      </c>
    </row>
    <row r="2745" spans="1:7" x14ac:dyDescent="0.3">
      <c r="A2745" s="11" t="s">
        <v>6537</v>
      </c>
      <c r="B2745" s="11"/>
      <c r="C2745" s="2228">
        <v>2</v>
      </c>
      <c r="D2745" s="2228">
        <v>273.51859196424101</v>
      </c>
      <c r="E2745" s="2229">
        <v>287.51187313934997</v>
      </c>
      <c r="F2745" s="2230">
        <v>6.0261079004274298E-2</v>
      </c>
      <c r="G2745" s="2231">
        <v>6.3305742119883407E-2</v>
      </c>
    </row>
    <row r="2746" spans="1:7" x14ac:dyDescent="0.3">
      <c r="A2746" s="6" t="s">
        <v>1019</v>
      </c>
      <c r="B2746" s="6" t="s">
        <v>1020</v>
      </c>
      <c r="C2746" s="2224">
        <v>356</v>
      </c>
      <c r="D2746" s="2224">
        <v>124140.958777753</v>
      </c>
      <c r="E2746" s="2225">
        <v>17668.477209635599</v>
      </c>
      <c r="F2746" s="2226">
        <v>74.779679701277303</v>
      </c>
      <c r="G2746" s="2227">
        <v>4.5745696523833104</v>
      </c>
    </row>
    <row r="2747" spans="1:7" x14ac:dyDescent="0.3">
      <c r="A2747" s="11" t="s">
        <v>1213</v>
      </c>
      <c r="B2747" s="11"/>
      <c r="C2747" s="2228">
        <v>145</v>
      </c>
      <c r="D2747" s="2228">
        <v>38558.9537954591</v>
      </c>
      <c r="E2747" s="2229">
        <v>4942.6788692513001</v>
      </c>
      <c r="F2747" s="2230">
        <v>23.227033549844901</v>
      </c>
      <c r="G2747" s="2231">
        <v>4.0103013902669797</v>
      </c>
    </row>
    <row r="2748" spans="1:7" x14ac:dyDescent="0.3">
      <c r="A2748" s="6" t="s">
        <v>1214</v>
      </c>
      <c r="B2748" s="6"/>
      <c r="C2748" s="2224">
        <v>11</v>
      </c>
      <c r="D2748" s="2224">
        <v>2871.35263259155</v>
      </c>
      <c r="E2748" s="2225">
        <v>1937.2921588494901</v>
      </c>
      <c r="F2748" s="2226">
        <v>1.7296372791757</v>
      </c>
      <c r="G2748" s="2227">
        <v>1.23382620818809</v>
      </c>
    </row>
    <row r="2749" spans="1:7" x14ac:dyDescent="0.3">
      <c r="A2749" s="11" t="s">
        <v>1015</v>
      </c>
      <c r="B2749" s="11" t="s">
        <v>1016</v>
      </c>
      <c r="C2749" s="2228">
        <v>1</v>
      </c>
      <c r="D2749" s="2228">
        <v>437.68170819677499</v>
      </c>
      <c r="E2749" s="2229">
        <v>458.183029247523</v>
      </c>
      <c r="F2749" s="2230">
        <v>0.26364946970208297</v>
      </c>
      <c r="G2749" s="2231">
        <v>0.279626225502489</v>
      </c>
    </row>
    <row r="2750" spans="1:7" x14ac:dyDescent="0.3">
      <c r="A2750" s="6" t="s">
        <v>6354</v>
      </c>
      <c r="B2750" s="6" t="s">
        <v>6355</v>
      </c>
      <c r="C2750" s="2224">
        <v>1665</v>
      </c>
      <c r="D2750" s="2224">
        <v>453889.30381555302</v>
      </c>
      <c r="E2750" s="2225">
        <v>14096.3933719626</v>
      </c>
      <c r="F2750" s="2226">
        <v>73.219968483759104</v>
      </c>
      <c r="G2750" s="2227">
        <v>2.1955253147391098</v>
      </c>
    </row>
    <row r="2751" spans="1:7" x14ac:dyDescent="0.3">
      <c r="A2751" s="11" t="s">
        <v>6354</v>
      </c>
      <c r="B2751" s="11" t="s">
        <v>6356</v>
      </c>
      <c r="C2751" s="2228">
        <v>2178</v>
      </c>
      <c r="D2751" s="2228">
        <v>619898.25072955305</v>
      </c>
      <c r="E2751" s="2229">
        <v>0</v>
      </c>
      <c r="F2751" s="2230">
        <v>100</v>
      </c>
      <c r="G2751" s="2231">
        <v>0</v>
      </c>
    </row>
    <row r="2752" spans="1:7" x14ac:dyDescent="0.3">
      <c r="A2752" s="3449" t="s">
        <v>473</v>
      </c>
      <c r="B2752" s="3450"/>
      <c r="C2752" s="3450"/>
      <c r="D2752" s="3450"/>
      <c r="E2752" s="3450"/>
      <c r="F2752" s="3450"/>
      <c r="G2752" s="3450"/>
    </row>
    <row r="2753" spans="1:7" x14ac:dyDescent="0.3">
      <c r="A2753" s="11" t="s">
        <v>1065</v>
      </c>
      <c r="B2753" s="11"/>
      <c r="C2753" s="2236">
        <v>118</v>
      </c>
      <c r="D2753" s="2236">
        <v>45521.4131133419</v>
      </c>
      <c r="E2753" s="2237">
        <v>5919.8449693887796</v>
      </c>
      <c r="F2753" s="2238">
        <v>10.029188335277601</v>
      </c>
      <c r="G2753" s="2239">
        <v>1.2928604950579301</v>
      </c>
    </row>
    <row r="2754" spans="1:7" x14ac:dyDescent="0.3">
      <c r="A2754" s="6" t="s">
        <v>1042</v>
      </c>
      <c r="B2754" s="6"/>
      <c r="C2754" s="2232">
        <v>150</v>
      </c>
      <c r="D2754" s="2232">
        <v>43675.799371487003</v>
      </c>
      <c r="E2754" s="2233">
        <v>5175.6963068805298</v>
      </c>
      <c r="F2754" s="2234">
        <v>9.6225663403682198</v>
      </c>
      <c r="G2754" s="2235">
        <v>1.22898776871941</v>
      </c>
    </row>
    <row r="2755" spans="1:7" x14ac:dyDescent="0.3">
      <c r="A2755" s="11" t="s">
        <v>1031</v>
      </c>
      <c r="B2755" s="11"/>
      <c r="C2755" s="2236">
        <v>81</v>
      </c>
      <c r="D2755" s="2236">
        <v>41790.591466887003</v>
      </c>
      <c r="E2755" s="2237">
        <v>6464.7155035468604</v>
      </c>
      <c r="F2755" s="2238">
        <v>9.2072210372838992</v>
      </c>
      <c r="G2755" s="2239">
        <v>1.30020735431629</v>
      </c>
    </row>
    <row r="2756" spans="1:7" x14ac:dyDescent="0.3">
      <c r="A2756" s="6" t="s">
        <v>1027</v>
      </c>
      <c r="B2756" s="6"/>
      <c r="C2756" s="2232">
        <v>103</v>
      </c>
      <c r="D2756" s="2232">
        <v>40266.032439332201</v>
      </c>
      <c r="E2756" s="2233">
        <v>5290.8000670122201</v>
      </c>
      <c r="F2756" s="2234">
        <v>8.8713331864932403</v>
      </c>
      <c r="G2756" s="2235">
        <v>1.1041329620056799</v>
      </c>
    </row>
    <row r="2757" spans="1:7" x14ac:dyDescent="0.3">
      <c r="A2757" s="11" t="s">
        <v>1067</v>
      </c>
      <c r="B2757" s="11"/>
      <c r="C2757" s="2236">
        <v>127</v>
      </c>
      <c r="D2757" s="2236">
        <v>40056.307445135302</v>
      </c>
      <c r="E2757" s="2237">
        <v>5634.5825702691</v>
      </c>
      <c r="F2757" s="2238">
        <v>8.8251269876615197</v>
      </c>
      <c r="G2757" s="2239">
        <v>1.1640451783374901</v>
      </c>
    </row>
    <row r="2758" spans="1:7" x14ac:dyDescent="0.3">
      <c r="A2758" s="6" t="s">
        <v>1061</v>
      </c>
      <c r="B2758" s="6"/>
      <c r="C2758" s="2232">
        <v>194</v>
      </c>
      <c r="D2758" s="2232">
        <v>37852.5835000894</v>
      </c>
      <c r="E2758" s="2233">
        <v>3298.8713636909301</v>
      </c>
      <c r="F2758" s="2234">
        <v>8.3396068560962497</v>
      </c>
      <c r="G2758" s="2235">
        <v>0.74444228640237498</v>
      </c>
    </row>
    <row r="2759" spans="1:7" x14ac:dyDescent="0.3">
      <c r="A2759" s="11" t="s">
        <v>1063</v>
      </c>
      <c r="B2759" s="11"/>
      <c r="C2759" s="2236">
        <v>155</v>
      </c>
      <c r="D2759" s="2236">
        <v>37594.594193325604</v>
      </c>
      <c r="E2759" s="2237">
        <v>4411.5724070031101</v>
      </c>
      <c r="F2759" s="2238">
        <v>8.2827671587085803</v>
      </c>
      <c r="G2759" s="2239">
        <v>1.0516657424870399</v>
      </c>
    </row>
    <row r="2760" spans="1:7" x14ac:dyDescent="0.3">
      <c r="A2760" s="6" t="s">
        <v>1023</v>
      </c>
      <c r="B2760" s="6"/>
      <c r="C2760" s="2232">
        <v>158</v>
      </c>
      <c r="D2760" s="2232">
        <v>36398.201879996603</v>
      </c>
      <c r="E2760" s="2233">
        <v>4512.7686601294299</v>
      </c>
      <c r="F2760" s="2234">
        <v>8.0191803538925797</v>
      </c>
      <c r="G2760" s="2235">
        <v>0.93864861788339404</v>
      </c>
    </row>
    <row r="2761" spans="1:7" x14ac:dyDescent="0.3">
      <c r="A2761" s="11" t="s">
        <v>1029</v>
      </c>
      <c r="B2761" s="11"/>
      <c r="C2761" s="2236">
        <v>83</v>
      </c>
      <c r="D2761" s="2236">
        <v>35333.654033369203</v>
      </c>
      <c r="E2761" s="2237">
        <v>4445.3451135036903</v>
      </c>
      <c r="F2761" s="2238">
        <v>7.7846412630441097</v>
      </c>
      <c r="G2761" s="2239">
        <v>1.04382394701879</v>
      </c>
    </row>
    <row r="2762" spans="1:7" x14ac:dyDescent="0.3">
      <c r="A2762" s="6" t="s">
        <v>1025</v>
      </c>
      <c r="B2762" s="6"/>
      <c r="C2762" s="2232">
        <v>196</v>
      </c>
      <c r="D2762" s="2232">
        <v>35195.481915991899</v>
      </c>
      <c r="E2762" s="2233">
        <v>3088.4547515976501</v>
      </c>
      <c r="F2762" s="2234">
        <v>7.7541994535069101</v>
      </c>
      <c r="G2762" s="2235">
        <v>0.58029940998090102</v>
      </c>
    </row>
    <row r="2763" spans="1:7" x14ac:dyDescent="0.3">
      <c r="A2763" s="11" t="s">
        <v>1040</v>
      </c>
      <c r="B2763" s="11"/>
      <c r="C2763" s="2236">
        <v>160</v>
      </c>
      <c r="D2763" s="2236">
        <v>33661.502293640398</v>
      </c>
      <c r="E2763" s="2237">
        <v>6940.8725467068798</v>
      </c>
      <c r="F2763" s="2238">
        <v>7.4162360757722299</v>
      </c>
      <c r="G2763" s="2239">
        <v>1.4751130451164201</v>
      </c>
    </row>
    <row r="2764" spans="1:7" x14ac:dyDescent="0.3">
      <c r="A2764" s="6" t="s">
        <v>1021</v>
      </c>
      <c r="B2764" s="6"/>
      <c r="C2764" s="2232">
        <v>140</v>
      </c>
      <c r="D2764" s="2232">
        <v>26543.142162956101</v>
      </c>
      <c r="E2764" s="2233">
        <v>3261.53388876799</v>
      </c>
      <c r="F2764" s="2234">
        <v>5.8479329518949097</v>
      </c>
      <c r="G2764" s="2235">
        <v>0.62317311209642601</v>
      </c>
    </row>
    <row r="2765" spans="1:7" x14ac:dyDescent="0.3">
      <c r="A2765" s="11" t="s">
        <v>1019</v>
      </c>
      <c r="B2765" s="11" t="s">
        <v>1020</v>
      </c>
      <c r="C2765" s="2236">
        <v>356</v>
      </c>
      <c r="D2765" s="2236">
        <v>124140.958777753</v>
      </c>
      <c r="E2765" s="2237">
        <v>17668.477209635599</v>
      </c>
      <c r="F2765" s="2238">
        <v>74.779679701277303</v>
      </c>
      <c r="G2765" s="2239">
        <v>4.5745696523833104</v>
      </c>
    </row>
    <row r="2766" spans="1:7" x14ac:dyDescent="0.3">
      <c r="A2766" s="6" t="s">
        <v>1213</v>
      </c>
      <c r="B2766" s="6"/>
      <c r="C2766" s="2232">
        <v>145</v>
      </c>
      <c r="D2766" s="2232">
        <v>38558.9537954591</v>
      </c>
      <c r="E2766" s="2233">
        <v>4942.6788692513001</v>
      </c>
      <c r="F2766" s="2234">
        <v>23.227033549844901</v>
      </c>
      <c r="G2766" s="2235">
        <v>4.0103013902669797</v>
      </c>
    </row>
    <row r="2767" spans="1:7" x14ac:dyDescent="0.3">
      <c r="A2767" s="11" t="s">
        <v>1214</v>
      </c>
      <c r="B2767" s="11"/>
      <c r="C2767" s="2236">
        <v>11</v>
      </c>
      <c r="D2767" s="2236">
        <v>2871.35263259155</v>
      </c>
      <c r="E2767" s="2237">
        <v>1937.2921588494901</v>
      </c>
      <c r="F2767" s="2238">
        <v>1.7296372791757</v>
      </c>
      <c r="G2767" s="2239">
        <v>1.23382620818809</v>
      </c>
    </row>
    <row r="2768" spans="1:7" x14ac:dyDescent="0.3">
      <c r="A2768" s="6" t="s">
        <v>1015</v>
      </c>
      <c r="B2768" s="6" t="s">
        <v>1016</v>
      </c>
      <c r="C2768" s="2232">
        <v>1</v>
      </c>
      <c r="D2768" s="2232">
        <v>437.68170819677499</v>
      </c>
      <c r="E2768" s="2233">
        <v>458.183029247523</v>
      </c>
      <c r="F2768" s="2234">
        <v>0.26364946970208297</v>
      </c>
      <c r="G2768" s="2235">
        <v>0.279626225502489</v>
      </c>
    </row>
    <row r="2769" spans="1:7" x14ac:dyDescent="0.3">
      <c r="A2769" s="11" t="s">
        <v>6354</v>
      </c>
      <c r="B2769" s="11" t="s">
        <v>6355</v>
      </c>
      <c r="C2769" s="2236">
        <v>1665</v>
      </c>
      <c r="D2769" s="2236">
        <v>453889.30381555302</v>
      </c>
      <c r="E2769" s="2237">
        <v>14096.3933719619</v>
      </c>
      <c r="F2769" s="2238">
        <v>73.219968483759104</v>
      </c>
      <c r="G2769" s="2239">
        <v>2.1955253147390801</v>
      </c>
    </row>
    <row r="2770" spans="1:7" x14ac:dyDescent="0.3">
      <c r="A2770" s="6" t="s">
        <v>6354</v>
      </c>
      <c r="B2770" s="6" t="s">
        <v>6356</v>
      </c>
      <c r="C2770" s="2232">
        <v>2178</v>
      </c>
      <c r="D2770" s="2232">
        <v>619898.25072955305</v>
      </c>
      <c r="E2770" s="2233">
        <v>0</v>
      </c>
      <c r="F2770" s="2234">
        <v>100</v>
      </c>
      <c r="G2770" s="2235">
        <v>0</v>
      </c>
    </row>
    <row r="2771" spans="1:7" x14ac:dyDescent="0.3">
      <c r="A2771" s="3449" t="s">
        <v>466</v>
      </c>
      <c r="B2771" s="3450"/>
      <c r="C2771" s="3450"/>
      <c r="D2771" s="3450"/>
      <c r="E2771" s="3450"/>
      <c r="F2771" s="3450"/>
      <c r="G2771" s="3450"/>
    </row>
    <row r="2772" spans="1:7" x14ac:dyDescent="0.3">
      <c r="A2772" s="11" t="s">
        <v>1042</v>
      </c>
      <c r="B2772" s="11"/>
      <c r="C2772" s="2244">
        <v>58</v>
      </c>
      <c r="D2772" s="2244">
        <v>21396.200072639</v>
      </c>
      <c r="E2772" s="2245">
        <v>4883.9506381547199</v>
      </c>
      <c r="F2772" s="2246">
        <v>4.7139687789015996</v>
      </c>
      <c r="G2772" s="2247">
        <v>0.99117747684372004</v>
      </c>
    </row>
    <row r="2773" spans="1:7" x14ac:dyDescent="0.3">
      <c r="A2773" s="6" t="s">
        <v>1067</v>
      </c>
      <c r="B2773" s="6"/>
      <c r="C2773" s="2240">
        <v>54</v>
      </c>
      <c r="D2773" s="2240">
        <v>21293.015113380599</v>
      </c>
      <c r="E2773" s="2241">
        <v>6431.7538022097096</v>
      </c>
      <c r="F2773" s="2242">
        <v>4.6912352713280701</v>
      </c>
      <c r="G2773" s="2243">
        <v>1.4340682018887101</v>
      </c>
    </row>
    <row r="2774" spans="1:7" x14ac:dyDescent="0.3">
      <c r="A2774" s="11" t="s">
        <v>1021</v>
      </c>
      <c r="B2774" s="11"/>
      <c r="C2774" s="2244">
        <v>102</v>
      </c>
      <c r="D2774" s="2244">
        <v>20048.684058283299</v>
      </c>
      <c r="E2774" s="2245">
        <v>7726.9624474092298</v>
      </c>
      <c r="F2774" s="2246">
        <v>4.4170866970750398</v>
      </c>
      <c r="G2774" s="2247">
        <v>1.6348368380235601</v>
      </c>
    </row>
    <row r="2775" spans="1:7" x14ac:dyDescent="0.3">
      <c r="A2775" s="6" t="s">
        <v>1079</v>
      </c>
      <c r="B2775" s="6"/>
      <c r="C2775" s="2240">
        <v>62</v>
      </c>
      <c r="D2775" s="2240">
        <v>20015.133217163901</v>
      </c>
      <c r="E2775" s="2241">
        <v>2681.0152248320401</v>
      </c>
      <c r="F2775" s="2242">
        <v>4.4096948416518398</v>
      </c>
      <c r="G2775" s="2243">
        <v>0.65669592004977695</v>
      </c>
    </row>
    <row r="2776" spans="1:7" x14ac:dyDescent="0.3">
      <c r="A2776" s="11" t="s">
        <v>1224</v>
      </c>
      <c r="B2776" s="11"/>
      <c r="C2776" s="2244">
        <v>58</v>
      </c>
      <c r="D2776" s="2244">
        <v>19557.9145591448</v>
      </c>
      <c r="E2776" s="2245">
        <v>6416.6525330538498</v>
      </c>
      <c r="F2776" s="2246">
        <v>4.3089613248724001</v>
      </c>
      <c r="G2776" s="2247">
        <v>1.4955593067994599</v>
      </c>
    </row>
    <row r="2777" spans="1:7" x14ac:dyDescent="0.3">
      <c r="A2777" s="6" t="s">
        <v>1069</v>
      </c>
      <c r="B2777" s="6"/>
      <c r="C2777" s="2240">
        <v>78</v>
      </c>
      <c r="D2777" s="2240">
        <v>19231.462246462699</v>
      </c>
      <c r="E2777" s="2241">
        <v>3699.6942023268002</v>
      </c>
      <c r="F2777" s="2242">
        <v>4.2370379924788404</v>
      </c>
      <c r="G2777" s="2243">
        <v>0.80806916141949603</v>
      </c>
    </row>
    <row r="2778" spans="1:7" x14ac:dyDescent="0.3">
      <c r="A2778" s="11" t="s">
        <v>1222</v>
      </c>
      <c r="B2778" s="11"/>
      <c r="C2778" s="2244">
        <v>50</v>
      </c>
      <c r="D2778" s="2244">
        <v>18658.9850949303</v>
      </c>
      <c r="E2778" s="2245">
        <v>6021.8070728610101</v>
      </c>
      <c r="F2778" s="2246">
        <v>4.11091095077066</v>
      </c>
      <c r="G2778" s="2247">
        <v>1.28977954877373</v>
      </c>
    </row>
    <row r="2779" spans="1:7" x14ac:dyDescent="0.3">
      <c r="A2779" s="6" t="s">
        <v>1027</v>
      </c>
      <c r="B2779" s="6"/>
      <c r="C2779" s="2240">
        <v>38</v>
      </c>
      <c r="D2779" s="2240">
        <v>18245.6759730554</v>
      </c>
      <c r="E2779" s="2241">
        <v>8283.6059941693493</v>
      </c>
      <c r="F2779" s="2242">
        <v>4.0198514967583199</v>
      </c>
      <c r="G2779" s="2243">
        <v>1.81600821728706</v>
      </c>
    </row>
    <row r="2780" spans="1:7" x14ac:dyDescent="0.3">
      <c r="A2780" s="11" t="s">
        <v>1061</v>
      </c>
      <c r="B2780" s="11"/>
      <c r="C2780" s="2244">
        <v>56</v>
      </c>
      <c r="D2780" s="2244">
        <v>18034.870043331</v>
      </c>
      <c r="E2780" s="2245">
        <v>4982.2264930492202</v>
      </c>
      <c r="F2780" s="2246">
        <v>3.97340714833408</v>
      </c>
      <c r="G2780" s="2247">
        <v>1.0752372737046401</v>
      </c>
    </row>
    <row r="2781" spans="1:7" x14ac:dyDescent="0.3">
      <c r="A2781" s="6" t="s">
        <v>1081</v>
      </c>
      <c r="B2781" s="6"/>
      <c r="C2781" s="2240">
        <v>59</v>
      </c>
      <c r="D2781" s="2240">
        <v>16599.058468352901</v>
      </c>
      <c r="E2781" s="2241">
        <v>4823.2372946529504</v>
      </c>
      <c r="F2781" s="2242">
        <v>3.6570719619994101</v>
      </c>
      <c r="G2781" s="2243">
        <v>1.0316774150493899</v>
      </c>
    </row>
    <row r="2782" spans="1:7" x14ac:dyDescent="0.3">
      <c r="A2782" s="11" t="s">
        <v>3101</v>
      </c>
      <c r="B2782" s="11"/>
      <c r="C2782" s="2244">
        <v>47</v>
      </c>
      <c r="D2782" s="2244">
        <v>16446.863253094201</v>
      </c>
      <c r="E2782" s="2245">
        <v>5029.3050895085898</v>
      </c>
      <c r="F2782" s="2246">
        <v>3.62354061107765</v>
      </c>
      <c r="G2782" s="2247">
        <v>1.14203282004567</v>
      </c>
    </row>
    <row r="2783" spans="1:7" x14ac:dyDescent="0.3">
      <c r="A2783" s="6" t="s">
        <v>1025</v>
      </c>
      <c r="B2783" s="6"/>
      <c r="C2783" s="2240">
        <v>69</v>
      </c>
      <c r="D2783" s="2240">
        <v>16092.3477338702</v>
      </c>
      <c r="E2783" s="2241">
        <v>5046.2104586604</v>
      </c>
      <c r="F2783" s="2242">
        <v>3.54543444813355</v>
      </c>
      <c r="G2783" s="2243">
        <v>1.0938470780073699</v>
      </c>
    </row>
    <row r="2784" spans="1:7" x14ac:dyDescent="0.3">
      <c r="A2784" s="11" t="s">
        <v>1065</v>
      </c>
      <c r="B2784" s="11"/>
      <c r="C2784" s="2244">
        <v>36</v>
      </c>
      <c r="D2784" s="2244">
        <v>14864.2621964599</v>
      </c>
      <c r="E2784" s="2245">
        <v>6201.2915604077298</v>
      </c>
      <c r="F2784" s="2246">
        <v>3.27486505443192</v>
      </c>
      <c r="G2784" s="2247">
        <v>1.37770637702196</v>
      </c>
    </row>
    <row r="2785" spans="1:7" x14ac:dyDescent="0.3">
      <c r="A2785" s="6" t="s">
        <v>1073</v>
      </c>
      <c r="B2785" s="6"/>
      <c r="C2785" s="2240">
        <v>64</v>
      </c>
      <c r="D2785" s="2240">
        <v>14631.0341003174</v>
      </c>
      <c r="E2785" s="2241">
        <v>2376.8685267310598</v>
      </c>
      <c r="F2785" s="2242">
        <v>3.22348069833851</v>
      </c>
      <c r="G2785" s="2243">
        <v>0.58528267094231201</v>
      </c>
    </row>
    <row r="2786" spans="1:7" x14ac:dyDescent="0.3">
      <c r="A2786" s="11" t="s">
        <v>1071</v>
      </c>
      <c r="B2786" s="11"/>
      <c r="C2786" s="2244">
        <v>50</v>
      </c>
      <c r="D2786" s="2244">
        <v>14418.8558128354</v>
      </c>
      <c r="E2786" s="2245">
        <v>5430.22408935576</v>
      </c>
      <c r="F2786" s="2246">
        <v>3.1767339947483699</v>
      </c>
      <c r="G2786" s="2247">
        <v>1.1981484293728</v>
      </c>
    </row>
    <row r="2787" spans="1:7" x14ac:dyDescent="0.3">
      <c r="A2787" s="6" t="s">
        <v>1063</v>
      </c>
      <c r="B2787" s="6"/>
      <c r="C2787" s="2240">
        <v>39</v>
      </c>
      <c r="D2787" s="2240">
        <v>14380.704444789901</v>
      </c>
      <c r="E2787" s="2241">
        <v>5344.2806431765302</v>
      </c>
      <c r="F2787" s="2242">
        <v>3.16832856026803</v>
      </c>
      <c r="G2787" s="2243">
        <v>1.18570951285297</v>
      </c>
    </row>
    <row r="2788" spans="1:7" x14ac:dyDescent="0.3">
      <c r="A2788" s="11" t="s">
        <v>1031</v>
      </c>
      <c r="B2788" s="11"/>
      <c r="C2788" s="2244">
        <v>62</v>
      </c>
      <c r="D2788" s="2244">
        <v>14115.082781110401</v>
      </c>
      <c r="E2788" s="2245">
        <v>5209.7757163697697</v>
      </c>
      <c r="F2788" s="2246">
        <v>3.1098073169942699</v>
      </c>
      <c r="G2788" s="2247">
        <v>1.0754784384724501</v>
      </c>
    </row>
    <row r="2789" spans="1:7" x14ac:dyDescent="0.3">
      <c r="A2789" s="6" t="s">
        <v>1023</v>
      </c>
      <c r="B2789" s="6"/>
      <c r="C2789" s="2240">
        <v>54</v>
      </c>
      <c r="D2789" s="2240">
        <v>13964.392001255899</v>
      </c>
      <c r="E2789" s="2241">
        <v>3286.88681327944</v>
      </c>
      <c r="F2789" s="2242">
        <v>3.0766074203261402</v>
      </c>
      <c r="G2789" s="2243">
        <v>0.69259155236585901</v>
      </c>
    </row>
    <row r="2790" spans="1:7" x14ac:dyDescent="0.3">
      <c r="A2790" s="11" t="s">
        <v>1118</v>
      </c>
      <c r="B2790" s="11"/>
      <c r="C2790" s="2244">
        <v>45</v>
      </c>
      <c r="D2790" s="2244">
        <v>13748.0370411326</v>
      </c>
      <c r="E2790" s="2245">
        <v>3876.2331050190901</v>
      </c>
      <c r="F2790" s="2246">
        <v>3.02894052042245</v>
      </c>
      <c r="G2790" s="2247">
        <v>0.87626301442136501</v>
      </c>
    </row>
    <row r="2791" spans="1:7" x14ac:dyDescent="0.3">
      <c r="A2791" s="6" t="s">
        <v>1114</v>
      </c>
      <c r="B2791" s="6"/>
      <c r="C2791" s="2240">
        <v>74</v>
      </c>
      <c r="D2791" s="2240">
        <v>13673.760444006301</v>
      </c>
      <c r="E2791" s="2241">
        <v>3981.4486168083799</v>
      </c>
      <c r="F2791" s="2242">
        <v>3.0125760464192299</v>
      </c>
      <c r="G2791" s="2243">
        <v>0.864445081716679</v>
      </c>
    </row>
    <row r="2792" spans="1:7" x14ac:dyDescent="0.3">
      <c r="A2792" s="11" t="s">
        <v>3103</v>
      </c>
      <c r="B2792" s="11"/>
      <c r="C2792" s="2244">
        <v>62</v>
      </c>
      <c r="D2792" s="2244">
        <v>13354.9189222857</v>
      </c>
      <c r="E2792" s="2245">
        <v>2529.7698173707299</v>
      </c>
      <c r="F2792" s="2246">
        <v>2.9423295085430698</v>
      </c>
      <c r="G2792" s="2247">
        <v>0.59920502674298404</v>
      </c>
    </row>
    <row r="2793" spans="1:7" x14ac:dyDescent="0.3">
      <c r="A2793" s="6" t="s">
        <v>1029</v>
      </c>
      <c r="B2793" s="6"/>
      <c r="C2793" s="2240">
        <v>29</v>
      </c>
      <c r="D2793" s="2240">
        <v>13176.543867759399</v>
      </c>
      <c r="E2793" s="2241">
        <v>5719.8766902555899</v>
      </c>
      <c r="F2793" s="2242">
        <v>2.9030302668498198</v>
      </c>
      <c r="G2793" s="2243">
        <v>1.27011442540765</v>
      </c>
    </row>
    <row r="2794" spans="1:7" x14ac:dyDescent="0.3">
      <c r="A2794" s="11" t="s">
        <v>1116</v>
      </c>
      <c r="B2794" s="11"/>
      <c r="C2794" s="2244">
        <v>40</v>
      </c>
      <c r="D2794" s="2244">
        <v>12049.711459803601</v>
      </c>
      <c r="E2794" s="2245">
        <v>4147.7122012979898</v>
      </c>
      <c r="F2794" s="2246">
        <v>2.6547687637733399</v>
      </c>
      <c r="G2794" s="2247">
        <v>0.89929458988494004</v>
      </c>
    </row>
    <row r="2795" spans="1:7" x14ac:dyDescent="0.3">
      <c r="A2795" s="6" t="s">
        <v>1077</v>
      </c>
      <c r="B2795" s="6"/>
      <c r="C2795" s="2240">
        <v>55</v>
      </c>
      <c r="D2795" s="2240">
        <v>11852.206372278901</v>
      </c>
      <c r="E2795" s="2241">
        <v>2508.97755744919</v>
      </c>
      <c r="F2795" s="2242">
        <v>2.6112548307803398</v>
      </c>
      <c r="G2795" s="2243">
        <v>0.55666005914554095</v>
      </c>
    </row>
    <row r="2796" spans="1:7" x14ac:dyDescent="0.3">
      <c r="A2796" s="11" t="s">
        <v>3107</v>
      </c>
      <c r="B2796" s="11"/>
      <c r="C2796" s="2244">
        <v>57</v>
      </c>
      <c r="D2796" s="2244">
        <v>10443.4613290205</v>
      </c>
      <c r="E2796" s="2245">
        <v>3483.97829420169</v>
      </c>
      <c r="F2796" s="2246">
        <v>2.3008828895567999</v>
      </c>
      <c r="G2796" s="2247">
        <v>0.73398190017694298</v>
      </c>
    </row>
    <row r="2797" spans="1:7" x14ac:dyDescent="0.3">
      <c r="A2797" s="6" t="s">
        <v>1075</v>
      </c>
      <c r="B2797" s="6"/>
      <c r="C2797" s="2240">
        <v>39</v>
      </c>
      <c r="D2797" s="2240">
        <v>10289.749378685199</v>
      </c>
      <c r="E2797" s="2241">
        <v>2919.4815860447102</v>
      </c>
      <c r="F2797" s="2242">
        <v>2.2670173745417701</v>
      </c>
      <c r="G2797" s="2243">
        <v>0.66739350610070403</v>
      </c>
    </row>
    <row r="2798" spans="1:7" x14ac:dyDescent="0.3">
      <c r="A2798" s="11" t="s">
        <v>3105</v>
      </c>
      <c r="B2798" s="11"/>
      <c r="C2798" s="2244">
        <v>47</v>
      </c>
      <c r="D2798" s="2244">
        <v>9467.5867530004598</v>
      </c>
      <c r="E2798" s="2245">
        <v>3700.1288610216102</v>
      </c>
      <c r="F2798" s="2246">
        <v>2.0858801195385301</v>
      </c>
      <c r="G2798" s="2247">
        <v>0.858289041624827</v>
      </c>
    </row>
    <row r="2799" spans="1:7" x14ac:dyDescent="0.3">
      <c r="A2799" s="6" t="s">
        <v>1040</v>
      </c>
      <c r="B2799" s="6"/>
      <c r="C2799" s="2240">
        <v>53</v>
      </c>
      <c r="D2799" s="2240">
        <v>9070.8212128146806</v>
      </c>
      <c r="E2799" s="2241">
        <v>2523.9620099311701</v>
      </c>
      <c r="F2799" s="2242">
        <v>1.9984655149531301</v>
      </c>
      <c r="G2799" s="2243">
        <v>0.56524606169092695</v>
      </c>
    </row>
    <row r="2800" spans="1:7" x14ac:dyDescent="0.3">
      <c r="A2800" s="11" t="s">
        <v>3099</v>
      </c>
      <c r="B2800" s="11"/>
      <c r="C2800" s="2244">
        <v>53</v>
      </c>
      <c r="D2800" s="2244">
        <v>9017.0978089844193</v>
      </c>
      <c r="E2800" s="2245">
        <v>1937.64866496437</v>
      </c>
      <c r="F2800" s="2246">
        <v>1.98662928013142</v>
      </c>
      <c r="G2800" s="2247">
        <v>0.423625923560212</v>
      </c>
    </row>
    <row r="2801" spans="1:7" x14ac:dyDescent="0.3">
      <c r="A2801" s="6" t="s">
        <v>1122</v>
      </c>
      <c r="B2801" s="6"/>
      <c r="C2801" s="2240">
        <v>27</v>
      </c>
      <c r="D2801" s="2240">
        <v>8689.1170936503804</v>
      </c>
      <c r="E2801" s="2241">
        <v>3516.7533044312599</v>
      </c>
      <c r="F2801" s="2242">
        <v>1.91436921306729</v>
      </c>
      <c r="G2801" s="2243">
        <v>0.78984201582000202</v>
      </c>
    </row>
    <row r="2802" spans="1:7" x14ac:dyDescent="0.3">
      <c r="A2802" s="11" t="s">
        <v>1120</v>
      </c>
      <c r="B2802" s="11"/>
      <c r="C2802" s="2244">
        <v>48</v>
      </c>
      <c r="D2802" s="2244">
        <v>7061.7509616535799</v>
      </c>
      <c r="E2802" s="2245">
        <v>2425.1461444124402</v>
      </c>
      <c r="F2802" s="2246">
        <v>1.5558311029341301</v>
      </c>
      <c r="G2802" s="2247">
        <v>0.53497435826191997</v>
      </c>
    </row>
    <row r="2803" spans="1:7" x14ac:dyDescent="0.3">
      <c r="A2803" s="6" t="s">
        <v>1019</v>
      </c>
      <c r="B2803" s="6" t="s">
        <v>1020</v>
      </c>
      <c r="C2803" s="2240">
        <v>356</v>
      </c>
      <c r="D2803" s="2240">
        <v>124140.958777753</v>
      </c>
      <c r="E2803" s="2241">
        <v>17668.477209635599</v>
      </c>
      <c r="F2803" s="2242">
        <v>74.779679701277303</v>
      </c>
      <c r="G2803" s="2243">
        <v>4.5745696523833104</v>
      </c>
    </row>
    <row r="2804" spans="1:7" x14ac:dyDescent="0.3">
      <c r="A2804" s="11" t="s">
        <v>1213</v>
      </c>
      <c r="B2804" s="11"/>
      <c r="C2804" s="2244">
        <v>145</v>
      </c>
      <c r="D2804" s="2244">
        <v>38558.9537954591</v>
      </c>
      <c r="E2804" s="2245">
        <v>4942.6788692513001</v>
      </c>
      <c r="F2804" s="2246">
        <v>23.227033549844901</v>
      </c>
      <c r="G2804" s="2247">
        <v>4.0103013902669797</v>
      </c>
    </row>
    <row r="2805" spans="1:7" x14ac:dyDescent="0.3">
      <c r="A2805" s="6" t="s">
        <v>1214</v>
      </c>
      <c r="B2805" s="6"/>
      <c r="C2805" s="2240">
        <v>11</v>
      </c>
      <c r="D2805" s="2240">
        <v>2871.35263259155</v>
      </c>
      <c r="E2805" s="2241">
        <v>1937.2921588494901</v>
      </c>
      <c r="F2805" s="2242">
        <v>1.7296372791757</v>
      </c>
      <c r="G2805" s="2243">
        <v>1.23382620818809</v>
      </c>
    </row>
    <row r="2806" spans="1:7" x14ac:dyDescent="0.3">
      <c r="A2806" s="11" t="s">
        <v>1015</v>
      </c>
      <c r="B2806" s="11" t="s">
        <v>1016</v>
      </c>
      <c r="C2806" s="2244">
        <v>1</v>
      </c>
      <c r="D2806" s="2244">
        <v>437.68170819677499</v>
      </c>
      <c r="E2806" s="2245">
        <v>458.183029247523</v>
      </c>
      <c r="F2806" s="2246">
        <v>0.26364946970208297</v>
      </c>
      <c r="G2806" s="2247">
        <v>0.279626225502489</v>
      </c>
    </row>
    <row r="2807" spans="1:7" x14ac:dyDescent="0.3">
      <c r="A2807" s="6" t="s">
        <v>6354</v>
      </c>
      <c r="B2807" s="6" t="s">
        <v>6355</v>
      </c>
      <c r="C2807" s="2240">
        <v>1665</v>
      </c>
      <c r="D2807" s="2240">
        <v>453889.30381555302</v>
      </c>
      <c r="E2807" s="2241">
        <v>14096.3933719619</v>
      </c>
      <c r="F2807" s="2242">
        <v>73.219968483759104</v>
      </c>
      <c r="G2807" s="2243">
        <v>2.1955253147390899</v>
      </c>
    </row>
    <row r="2808" spans="1:7" x14ac:dyDescent="0.3">
      <c r="A2808" s="11" t="s">
        <v>6354</v>
      </c>
      <c r="B2808" s="11" t="s">
        <v>6356</v>
      </c>
      <c r="C2808" s="2244">
        <v>2178</v>
      </c>
      <c r="D2808" s="2244">
        <v>619898.25072955305</v>
      </c>
      <c r="E2808" s="2245">
        <v>0</v>
      </c>
      <c r="F2808" s="2246">
        <v>100</v>
      </c>
      <c r="G2808" s="2247">
        <v>0</v>
      </c>
    </row>
    <row r="2809" spans="1:7" x14ac:dyDescent="0.3">
      <c r="A2809" s="3449" t="s">
        <v>231</v>
      </c>
      <c r="B2809" s="3450"/>
      <c r="C2809" s="3450"/>
      <c r="D2809" s="3450"/>
      <c r="E2809" s="3450"/>
      <c r="F2809" s="3450"/>
      <c r="G2809" s="3450"/>
    </row>
    <row r="2810" spans="1:7" x14ac:dyDescent="0.3">
      <c r="A2810" s="11" t="s">
        <v>1027</v>
      </c>
      <c r="B2810" s="11" t="s">
        <v>1263</v>
      </c>
      <c r="C2810" s="2252">
        <v>19</v>
      </c>
      <c r="D2810" s="2252">
        <v>6416.5771183285797</v>
      </c>
      <c r="E2810" s="2253">
        <v>2577.1135196133901</v>
      </c>
      <c r="F2810" s="2254">
        <v>91.922353626348695</v>
      </c>
      <c r="G2810" s="2255">
        <v>9.10589610766276</v>
      </c>
    </row>
    <row r="2811" spans="1:7" x14ac:dyDescent="0.3">
      <c r="A2811" s="6" t="s">
        <v>1052</v>
      </c>
      <c r="B2811" s="6" t="s">
        <v>1218</v>
      </c>
      <c r="C2811" s="2248">
        <v>3</v>
      </c>
      <c r="D2811" s="2248">
        <v>529.75713114289101</v>
      </c>
      <c r="E2811" s="2249">
        <v>556.30829470010804</v>
      </c>
      <c r="F2811" s="2250">
        <v>7.5891743287707101</v>
      </c>
      <c r="G2811" s="2251">
        <v>8.5806593439481507</v>
      </c>
    </row>
    <row r="2812" spans="1:7" x14ac:dyDescent="0.3">
      <c r="A2812" s="11" t="s">
        <v>1025</v>
      </c>
      <c r="B2812" s="11" t="s">
        <v>1262</v>
      </c>
      <c r="C2812" s="2252">
        <v>1</v>
      </c>
      <c r="D2812" s="2252">
        <v>34.097457500538198</v>
      </c>
      <c r="E2812" s="2253">
        <v>34.593269659817999</v>
      </c>
      <c r="F2812" s="2254">
        <v>0.488472044880575</v>
      </c>
      <c r="G2812" s="2255">
        <v>0.54512222626363005</v>
      </c>
    </row>
    <row r="2813" spans="1:7" x14ac:dyDescent="0.3">
      <c r="A2813" s="6" t="s">
        <v>1019</v>
      </c>
      <c r="B2813" s="6" t="s">
        <v>1020</v>
      </c>
      <c r="C2813" s="2248">
        <v>2154</v>
      </c>
      <c r="D2813" s="2248">
        <v>612668.39797098504</v>
      </c>
      <c r="E2813" s="2249">
        <v>7717.0651084643196</v>
      </c>
      <c r="F2813" s="2250">
        <v>99.959305955242797</v>
      </c>
      <c r="G2813" s="2251">
        <v>4.1991270684775997E-2</v>
      </c>
    </row>
    <row r="2814" spans="1:7" x14ac:dyDescent="0.3">
      <c r="A2814" s="11" t="s">
        <v>1044</v>
      </c>
      <c r="B2814" s="11" t="s">
        <v>1045</v>
      </c>
      <c r="C2814" s="2252">
        <v>2</v>
      </c>
      <c r="D2814" s="2252">
        <v>249.42105159765799</v>
      </c>
      <c r="E2814" s="2253">
        <v>258.21242840277199</v>
      </c>
      <c r="F2814" s="2254">
        <v>4.0694044757159903E-2</v>
      </c>
      <c r="G2814" s="2255">
        <v>4.1991270684779203E-2</v>
      </c>
    </row>
    <row r="2815" spans="1:7" x14ac:dyDescent="0.3">
      <c r="A2815" s="6" t="s">
        <v>6354</v>
      </c>
      <c r="B2815" s="6" t="s">
        <v>6355</v>
      </c>
      <c r="C2815" s="2248">
        <v>23</v>
      </c>
      <c r="D2815" s="2248">
        <v>6980.43170697201</v>
      </c>
      <c r="E2815" s="2249">
        <v>2695.2528588813402</v>
      </c>
      <c r="F2815" s="2250">
        <v>1.1260608815651201</v>
      </c>
      <c r="G2815" s="2251">
        <v>0.42646947980126498</v>
      </c>
    </row>
    <row r="2816" spans="1:7" x14ac:dyDescent="0.3">
      <c r="A2816" s="11" t="s">
        <v>6354</v>
      </c>
      <c r="B2816" s="11" t="s">
        <v>6356</v>
      </c>
      <c r="C2816" s="2252">
        <v>2179</v>
      </c>
      <c r="D2816" s="2252">
        <v>619898.25072955503</v>
      </c>
      <c r="E2816" s="2253">
        <v>0</v>
      </c>
      <c r="F2816" s="2254">
        <v>100</v>
      </c>
      <c r="G2816" s="2255">
        <v>0</v>
      </c>
    </row>
    <row r="2817" spans="1:7" x14ac:dyDescent="0.3">
      <c r="A2817" s="3449" t="s">
        <v>234</v>
      </c>
      <c r="B2817" s="3450"/>
      <c r="C2817" s="3450"/>
      <c r="D2817" s="3450"/>
      <c r="E2817" s="3450"/>
      <c r="F2817" s="3450"/>
      <c r="G2817" s="3450"/>
    </row>
    <row r="2818" spans="1:7" x14ac:dyDescent="0.3">
      <c r="A2818" s="11" t="s">
        <v>6565</v>
      </c>
      <c r="B2818" s="11"/>
      <c r="C2818" s="2260">
        <v>1</v>
      </c>
      <c r="D2818" s="2260">
        <v>529.75713114289101</v>
      </c>
      <c r="E2818" s="2261">
        <v>556.30829470010804</v>
      </c>
      <c r="F2818" s="2262">
        <v>100</v>
      </c>
      <c r="G2818" s="2263" t="e">
        <v>#NUM!</v>
      </c>
    </row>
    <row r="2819" spans="1:7" x14ac:dyDescent="0.3">
      <c r="A2819" s="6" t="s">
        <v>1019</v>
      </c>
      <c r="B2819" s="6" t="s">
        <v>1020</v>
      </c>
      <c r="C2819" s="2256">
        <v>2176</v>
      </c>
      <c r="D2819" s="2256">
        <v>619368.49359841202</v>
      </c>
      <c r="E2819" s="2257">
        <v>8443.1468004119506</v>
      </c>
      <c r="F2819" s="2258">
        <v>100</v>
      </c>
      <c r="G2819" s="2259">
        <v>0</v>
      </c>
    </row>
    <row r="2820" spans="1:7" x14ac:dyDescent="0.3">
      <c r="A2820" s="11" t="s">
        <v>6354</v>
      </c>
      <c r="B2820" s="11" t="s">
        <v>6355</v>
      </c>
      <c r="C2820" s="2260">
        <v>1</v>
      </c>
      <c r="D2820" s="2260">
        <v>529.75713114289101</v>
      </c>
      <c r="E2820" s="2261">
        <v>556.30829470010804</v>
      </c>
      <c r="F2820" s="2262">
        <v>8.5458723350069501E-2</v>
      </c>
      <c r="G2820" s="2263">
        <v>8.9457090890174104E-2</v>
      </c>
    </row>
    <row r="2821" spans="1:7" x14ac:dyDescent="0.3">
      <c r="A2821" s="6" t="s">
        <v>6354</v>
      </c>
      <c r="B2821" s="6" t="s">
        <v>6356</v>
      </c>
      <c r="C2821" s="2256">
        <v>2177</v>
      </c>
      <c r="D2821" s="2256">
        <v>619898.25072955503</v>
      </c>
      <c r="E2821" s="2257">
        <v>0</v>
      </c>
      <c r="F2821" s="2258">
        <v>100</v>
      </c>
      <c r="G2821" s="2259">
        <v>0</v>
      </c>
    </row>
    <row r="2822" spans="1:7" x14ac:dyDescent="0.3">
      <c r="A2822" s="3449" t="s">
        <v>857</v>
      </c>
      <c r="B2822" s="3450"/>
      <c r="C2822" s="3450"/>
      <c r="D2822" s="3450"/>
      <c r="E2822" s="3450"/>
      <c r="F2822" s="3450"/>
      <c r="G2822" s="3450"/>
    </row>
    <row r="2823" spans="1:7" x14ac:dyDescent="0.3">
      <c r="A2823" s="11" t="s">
        <v>1021</v>
      </c>
      <c r="B2823" s="11" t="s">
        <v>1106</v>
      </c>
      <c r="C2823" s="2268">
        <v>1850</v>
      </c>
      <c r="D2823" s="2268">
        <v>515837.74020305899</v>
      </c>
      <c r="E2823" s="2269">
        <v>6843.8311523910997</v>
      </c>
      <c r="F2823" s="2270">
        <v>83.472885411597801</v>
      </c>
      <c r="G2823" s="2271">
        <v>1.3918648370811499</v>
      </c>
    </row>
    <row r="2824" spans="1:7" x14ac:dyDescent="0.3">
      <c r="A2824" s="6" t="s">
        <v>1023</v>
      </c>
      <c r="B2824" s="6" t="s">
        <v>1107</v>
      </c>
      <c r="C2824" s="2264">
        <v>317</v>
      </c>
      <c r="D2824" s="2264">
        <v>102132.679364333</v>
      </c>
      <c r="E2824" s="2265">
        <v>9635.1092771933709</v>
      </c>
      <c r="F2824" s="2266">
        <v>16.527114588402299</v>
      </c>
      <c r="G2824" s="2267">
        <v>1.3918648370811499</v>
      </c>
    </row>
    <row r="2825" spans="1:7" x14ac:dyDescent="0.3">
      <c r="A2825" s="11" t="s">
        <v>1044</v>
      </c>
      <c r="B2825" s="11" t="s">
        <v>1045</v>
      </c>
      <c r="C2825" s="2268">
        <v>9</v>
      </c>
      <c r="D2825" s="2268">
        <v>1606.0108990042499</v>
      </c>
      <c r="E2825" s="2269">
        <v>679.41813485290004</v>
      </c>
      <c r="F2825" s="2270">
        <v>83.306615772501701</v>
      </c>
      <c r="G2825" s="2271">
        <v>12.4362461244152</v>
      </c>
    </row>
    <row r="2826" spans="1:7" x14ac:dyDescent="0.3">
      <c r="A2826" s="6" t="s">
        <v>1015</v>
      </c>
      <c r="B2826" s="6" t="s">
        <v>1092</v>
      </c>
      <c r="C2826" s="2264">
        <v>3</v>
      </c>
      <c r="D2826" s="2264">
        <v>321.820263157027</v>
      </c>
      <c r="E2826" s="2265">
        <v>212.16882151518101</v>
      </c>
      <c r="F2826" s="2266">
        <v>16.693384227498299</v>
      </c>
      <c r="G2826" s="2267">
        <v>12.4362461244152</v>
      </c>
    </row>
    <row r="2827" spans="1:7" x14ac:dyDescent="0.3">
      <c r="A2827" s="11" t="s">
        <v>6354</v>
      </c>
      <c r="B2827" s="11" t="s">
        <v>6355</v>
      </c>
      <c r="C2827" s="2268">
        <v>2167</v>
      </c>
      <c r="D2827" s="2268">
        <v>617970.41956739197</v>
      </c>
      <c r="E2827" s="2269">
        <v>9010.7219748579391</v>
      </c>
      <c r="F2827" s="2270">
        <v>99.689008452614203</v>
      </c>
      <c r="G2827" s="2271">
        <v>0.115616701996186</v>
      </c>
    </row>
    <row r="2828" spans="1:7" x14ac:dyDescent="0.3">
      <c r="A2828" s="6" t="s">
        <v>6354</v>
      </c>
      <c r="B2828" s="6" t="s">
        <v>6356</v>
      </c>
      <c r="C2828" s="2264">
        <v>2179</v>
      </c>
      <c r="D2828" s="2264">
        <v>619898.25072955305</v>
      </c>
      <c r="E2828" s="2265">
        <v>0</v>
      </c>
      <c r="F2828" s="2266">
        <v>100</v>
      </c>
      <c r="G2828" s="2267">
        <v>0</v>
      </c>
    </row>
    <row r="2829" spans="1:7" x14ac:dyDescent="0.3">
      <c r="A2829" s="3449" t="s">
        <v>854</v>
      </c>
      <c r="B2829" s="3450"/>
      <c r="C2829" s="3450"/>
      <c r="D2829" s="3450"/>
      <c r="E2829" s="3450"/>
      <c r="F2829" s="3450"/>
      <c r="G2829" s="3450"/>
    </row>
    <row r="2830" spans="1:7" x14ac:dyDescent="0.3">
      <c r="A2830" s="11" t="s">
        <v>1213</v>
      </c>
      <c r="B2830" s="11" t="s">
        <v>1092</v>
      </c>
      <c r="C2830" s="2276">
        <v>457</v>
      </c>
      <c r="D2830" s="2276">
        <v>160987.34371363401</v>
      </c>
      <c r="E2830" s="2277">
        <v>15168.995935566099</v>
      </c>
      <c r="F2830" s="2278">
        <v>58.2608582101971</v>
      </c>
      <c r="G2830" s="2279">
        <v>2.4939512162739099</v>
      </c>
    </row>
    <row r="2831" spans="1:7" x14ac:dyDescent="0.3">
      <c r="A2831" s="6" t="s">
        <v>1019</v>
      </c>
      <c r="B2831" s="6" t="s">
        <v>1020</v>
      </c>
      <c r="C2831" s="2272">
        <v>329</v>
      </c>
      <c r="D2831" s="2272">
        <v>104060.51052649401</v>
      </c>
      <c r="E2831" s="2273">
        <v>9731.7274128813497</v>
      </c>
      <c r="F2831" s="2274">
        <v>37.659200463914097</v>
      </c>
      <c r="G2831" s="2275">
        <v>3.1682113520989699</v>
      </c>
    </row>
    <row r="2832" spans="1:7" x14ac:dyDescent="0.3">
      <c r="A2832" s="11" t="s">
        <v>1214</v>
      </c>
      <c r="B2832" s="11" t="s">
        <v>1018</v>
      </c>
      <c r="C2832" s="2276">
        <v>38</v>
      </c>
      <c r="D2832" s="2276">
        <v>10180.539126853901</v>
      </c>
      <c r="E2832" s="2277">
        <v>2794.43448765315</v>
      </c>
      <c r="F2832" s="2278">
        <v>3.6843079268893102</v>
      </c>
      <c r="G2832" s="2279">
        <v>1.00967298639194</v>
      </c>
    </row>
    <row r="2833" spans="1:7" x14ac:dyDescent="0.3">
      <c r="A2833" s="6" t="s">
        <v>1015</v>
      </c>
      <c r="B2833" s="6" t="s">
        <v>1092</v>
      </c>
      <c r="C2833" s="2272">
        <v>1</v>
      </c>
      <c r="D2833" s="2272">
        <v>876.62506088071598</v>
      </c>
      <c r="E2833" s="2273">
        <v>905.39874768575498</v>
      </c>
      <c r="F2833" s="2274">
        <v>0.31724809663501102</v>
      </c>
      <c r="G2833" s="2275">
        <v>0.32751318785657701</v>
      </c>
    </row>
    <row r="2834" spans="1:7" x14ac:dyDescent="0.3">
      <c r="A2834" s="11" t="s">
        <v>1044</v>
      </c>
      <c r="B2834" s="11" t="s">
        <v>1045</v>
      </c>
      <c r="C2834" s="2276">
        <v>1</v>
      </c>
      <c r="D2834" s="2276">
        <v>216.595532601222</v>
      </c>
      <c r="E2834" s="2277">
        <v>219.317570641218</v>
      </c>
      <c r="F2834" s="2278">
        <v>7.8385302364444104E-2</v>
      </c>
      <c r="G2834" s="2279">
        <v>8.0016688619861207E-2</v>
      </c>
    </row>
    <row r="2835" spans="1:7" x14ac:dyDescent="0.3">
      <c r="A2835" s="6" t="s">
        <v>6354</v>
      </c>
      <c r="B2835" s="6" t="s">
        <v>6355</v>
      </c>
      <c r="C2835" s="2272">
        <v>1334</v>
      </c>
      <c r="D2835" s="2272">
        <v>343576.63676908799</v>
      </c>
      <c r="E2835" s="2273">
        <v>18511.281667700201</v>
      </c>
      <c r="F2835" s="2274">
        <v>55.4246824159829</v>
      </c>
      <c r="G2835" s="2275">
        <v>2.9695034180853699</v>
      </c>
    </row>
    <row r="2836" spans="1:7" x14ac:dyDescent="0.3">
      <c r="A2836" s="11" t="s">
        <v>6354</v>
      </c>
      <c r="B2836" s="11" t="s">
        <v>6356</v>
      </c>
      <c r="C2836" s="2276">
        <v>2160</v>
      </c>
      <c r="D2836" s="2276">
        <v>619898.25072955305</v>
      </c>
      <c r="E2836" s="2277">
        <v>0</v>
      </c>
      <c r="F2836" s="2278">
        <v>100</v>
      </c>
      <c r="G2836" s="2279">
        <v>0</v>
      </c>
    </row>
    <row r="2837" spans="1:7" x14ac:dyDescent="0.3">
      <c r="A2837" s="3449" t="s">
        <v>875</v>
      </c>
      <c r="B2837" s="3450"/>
      <c r="C2837" s="3450"/>
      <c r="D2837" s="3450"/>
      <c r="E2837" s="3450"/>
      <c r="F2837" s="3450"/>
      <c r="G2837" s="3450"/>
    </row>
    <row r="2838" spans="1:7" x14ac:dyDescent="0.3">
      <c r="A2838" s="11" t="s">
        <v>1021</v>
      </c>
      <c r="B2838" s="11" t="s">
        <v>1106</v>
      </c>
      <c r="C2838" s="2284">
        <v>306</v>
      </c>
      <c r="D2838" s="2284">
        <v>60615.354736288296</v>
      </c>
      <c r="E2838" s="2285">
        <v>7446.2632382003903</v>
      </c>
      <c r="F2838" s="2286">
        <v>100</v>
      </c>
      <c r="G2838" s="2287">
        <v>0</v>
      </c>
    </row>
    <row r="2839" spans="1:7" x14ac:dyDescent="0.3">
      <c r="A2839" s="6" t="s">
        <v>1019</v>
      </c>
      <c r="B2839" s="6" t="s">
        <v>1020</v>
      </c>
      <c r="C2839" s="2280">
        <v>1873</v>
      </c>
      <c r="D2839" s="2280">
        <v>559282.89599326497</v>
      </c>
      <c r="E2839" s="2281">
        <v>11766.3643790648</v>
      </c>
      <c r="F2839" s="2282">
        <v>100</v>
      </c>
      <c r="G2839" s="2283">
        <v>0</v>
      </c>
    </row>
    <row r="2840" spans="1:7" x14ac:dyDescent="0.3">
      <c r="A2840" s="11" t="s">
        <v>6354</v>
      </c>
      <c r="B2840" s="11" t="s">
        <v>6355</v>
      </c>
      <c r="C2840" s="2284">
        <v>306</v>
      </c>
      <c r="D2840" s="2284">
        <v>60615.354736288296</v>
      </c>
      <c r="E2840" s="2285">
        <v>7446.2632382003903</v>
      </c>
      <c r="F2840" s="2286">
        <v>9.7782748483239903</v>
      </c>
      <c r="G2840" s="2287">
        <v>1.21701384677893</v>
      </c>
    </row>
    <row r="2841" spans="1:7" x14ac:dyDescent="0.3">
      <c r="A2841" s="6" t="s">
        <v>6354</v>
      </c>
      <c r="B2841" s="6" t="s">
        <v>6356</v>
      </c>
      <c r="C2841" s="2280">
        <v>2179</v>
      </c>
      <c r="D2841" s="2280">
        <v>619898.25072955305</v>
      </c>
      <c r="E2841" s="2281">
        <v>0</v>
      </c>
      <c r="F2841" s="2282">
        <v>100</v>
      </c>
      <c r="G2841" s="2283">
        <v>0</v>
      </c>
    </row>
    <row r="2842" spans="1:7" x14ac:dyDescent="0.3">
      <c r="A2842" s="3449" t="s">
        <v>852</v>
      </c>
      <c r="B2842" s="3450"/>
      <c r="C2842" s="3450"/>
      <c r="D2842" s="3450"/>
      <c r="E2842" s="3450"/>
      <c r="F2842" s="3450"/>
      <c r="G2842" s="3450"/>
    </row>
    <row r="2843" spans="1:7" x14ac:dyDescent="0.3">
      <c r="A2843" s="11" t="s">
        <v>1021</v>
      </c>
      <c r="B2843" s="11" t="s">
        <v>1208</v>
      </c>
      <c r="C2843" s="2292">
        <v>229</v>
      </c>
      <c r="D2843" s="2292">
        <v>76109.097983249303</v>
      </c>
      <c r="E2843" s="2293">
        <v>10178.2570404899</v>
      </c>
      <c r="F2843" s="2294">
        <v>46.800183115341603</v>
      </c>
      <c r="G2843" s="2295">
        <v>2.5985563765536099</v>
      </c>
    </row>
    <row r="2844" spans="1:7" x14ac:dyDescent="0.3">
      <c r="A2844" s="6" t="s">
        <v>1023</v>
      </c>
      <c r="B2844" s="6" t="s">
        <v>1209</v>
      </c>
      <c r="C2844" s="2288">
        <v>112</v>
      </c>
      <c r="D2844" s="2288">
        <v>38877.433734653001</v>
      </c>
      <c r="E2844" s="2289">
        <v>4792.3405997877899</v>
      </c>
      <c r="F2844" s="2290">
        <v>23.9060909411483</v>
      </c>
      <c r="G2844" s="2291">
        <v>2.7237155010817702</v>
      </c>
    </row>
    <row r="2845" spans="1:7" x14ac:dyDescent="0.3">
      <c r="A2845" s="11" t="s">
        <v>1025</v>
      </c>
      <c r="B2845" s="11" t="s">
        <v>1210</v>
      </c>
      <c r="C2845" s="2292">
        <v>74</v>
      </c>
      <c r="D2845" s="2292">
        <v>26083.095388827202</v>
      </c>
      <c r="E2845" s="2293">
        <v>6399.5220724099099</v>
      </c>
      <c r="F2845" s="2294">
        <v>16.038734826166198</v>
      </c>
      <c r="G2845" s="2295">
        <v>2.5934384205758998</v>
      </c>
    </row>
    <row r="2846" spans="1:7" x14ac:dyDescent="0.3">
      <c r="A2846" s="6" t="s">
        <v>1027</v>
      </c>
      <c r="B2846" s="6" t="s">
        <v>1211</v>
      </c>
      <c r="C2846" s="2288">
        <v>43</v>
      </c>
      <c r="D2846" s="2288">
        <v>14763.276692123</v>
      </c>
      <c r="E2846" s="2289">
        <v>3039.7722199396799</v>
      </c>
      <c r="F2846" s="2290">
        <v>9.07807438114531</v>
      </c>
      <c r="G2846" s="2291">
        <v>2.6113427675912901</v>
      </c>
    </row>
    <row r="2847" spans="1:7" x14ac:dyDescent="0.3">
      <c r="A2847" s="11" t="s">
        <v>1029</v>
      </c>
      <c r="B2847" s="11" t="s">
        <v>6197</v>
      </c>
      <c r="C2847" s="2292">
        <v>22</v>
      </c>
      <c r="D2847" s="2292">
        <v>6792.7376343747801</v>
      </c>
      <c r="E2847" s="2293">
        <v>2579.2299135673902</v>
      </c>
      <c r="F2847" s="2294">
        <v>4.1769167361985904</v>
      </c>
      <c r="G2847" s="2295">
        <v>1.6702263706495499</v>
      </c>
    </row>
    <row r="2848" spans="1:7" x14ac:dyDescent="0.3">
      <c r="A2848" s="6" t="s">
        <v>1019</v>
      </c>
      <c r="B2848" s="6" t="s">
        <v>1020</v>
      </c>
      <c r="C2848" s="2288">
        <v>1683</v>
      </c>
      <c r="D2848" s="2288">
        <v>447853.74282818497</v>
      </c>
      <c r="E2848" s="2289">
        <v>19508.9327974181</v>
      </c>
      <c r="F2848" s="2290">
        <v>97.940207596812797</v>
      </c>
      <c r="G2848" s="2291">
        <v>0.88733686299720105</v>
      </c>
    </row>
    <row r="2849" spans="1:7" x14ac:dyDescent="0.3">
      <c r="A2849" s="11" t="s">
        <v>1015</v>
      </c>
      <c r="B2849" s="11" t="s">
        <v>1016</v>
      </c>
      <c r="C2849" s="2292">
        <v>12</v>
      </c>
      <c r="D2849" s="2292">
        <v>7288.94199416233</v>
      </c>
      <c r="E2849" s="2293">
        <v>3646.6530427292901</v>
      </c>
      <c r="F2849" s="2294">
        <v>1.5940036306523799</v>
      </c>
      <c r="G2849" s="2295">
        <v>0.79795741392464403</v>
      </c>
    </row>
    <row r="2850" spans="1:7" x14ac:dyDescent="0.3">
      <c r="A2850" s="6" t="s">
        <v>1017</v>
      </c>
      <c r="B2850" s="6" t="s">
        <v>1018</v>
      </c>
      <c r="C2850" s="2288">
        <v>4</v>
      </c>
      <c r="D2850" s="2288">
        <v>2129.9244739793098</v>
      </c>
      <c r="E2850" s="2289">
        <v>1986.8624254030899</v>
      </c>
      <c r="F2850" s="2290">
        <v>0.46578877253482298</v>
      </c>
      <c r="G2850" s="2291">
        <v>0.43734938275510199</v>
      </c>
    </row>
    <row r="2851" spans="1:7" x14ac:dyDescent="0.3">
      <c r="A2851" s="11" t="s">
        <v>6354</v>
      </c>
      <c r="B2851" s="11" t="s">
        <v>6355</v>
      </c>
      <c r="C2851" s="2292">
        <v>480</v>
      </c>
      <c r="D2851" s="2292">
        <v>162625.64143322699</v>
      </c>
      <c r="E2851" s="2293">
        <v>15632.0266389887</v>
      </c>
      <c r="F2851" s="2294">
        <v>26.234247514303298</v>
      </c>
      <c r="G2851" s="2295">
        <v>2.5491477408806298</v>
      </c>
    </row>
    <row r="2852" spans="1:7" x14ac:dyDescent="0.3">
      <c r="A2852" s="6" t="s">
        <v>6354</v>
      </c>
      <c r="B2852" s="6" t="s">
        <v>6356</v>
      </c>
      <c r="C2852" s="2288">
        <v>2179</v>
      </c>
      <c r="D2852" s="2288">
        <v>619898.25072955398</v>
      </c>
      <c r="E2852" s="2289">
        <v>0</v>
      </c>
      <c r="F2852" s="2290">
        <v>100</v>
      </c>
      <c r="G2852" s="2291">
        <v>0</v>
      </c>
    </row>
    <row r="2853" spans="1:7" x14ac:dyDescent="0.3">
      <c r="A2853" s="3449" t="s">
        <v>860</v>
      </c>
      <c r="B2853" s="3450"/>
      <c r="C2853" s="3450"/>
      <c r="D2853" s="3450"/>
      <c r="E2853" s="3450"/>
      <c r="F2853" s="3450"/>
      <c r="G2853" s="3450"/>
    </row>
    <row r="2854" spans="1:7" x14ac:dyDescent="0.3">
      <c r="A2854" s="11" t="s">
        <v>1042</v>
      </c>
      <c r="B2854" s="11"/>
      <c r="C2854" s="2300">
        <v>30</v>
      </c>
      <c r="D2854" s="2300">
        <v>13435.1058985815</v>
      </c>
      <c r="E2854" s="2301">
        <v>2589.9293544706902</v>
      </c>
      <c r="F2854" s="2302">
        <v>13.3878795108521</v>
      </c>
      <c r="G2854" s="2303">
        <v>2.6886932025950601</v>
      </c>
    </row>
    <row r="2855" spans="1:7" x14ac:dyDescent="0.3">
      <c r="A2855" s="6" t="s">
        <v>1025</v>
      </c>
      <c r="B2855" s="6"/>
      <c r="C2855" s="2296">
        <v>39</v>
      </c>
      <c r="D2855" s="2296">
        <v>12128.5546285911</v>
      </c>
      <c r="E2855" s="2297">
        <v>2954.3209328338999</v>
      </c>
      <c r="F2855" s="2298">
        <v>12.085920962149499</v>
      </c>
      <c r="G2855" s="2299">
        <v>2.15240208882472</v>
      </c>
    </row>
    <row r="2856" spans="1:7" x14ac:dyDescent="0.3">
      <c r="A2856" s="11" t="s">
        <v>1031</v>
      </c>
      <c r="B2856" s="11"/>
      <c r="C2856" s="2300">
        <v>34</v>
      </c>
      <c r="D2856" s="2300">
        <v>11064.602466873701</v>
      </c>
      <c r="E2856" s="2301">
        <v>3147.3416047046298</v>
      </c>
      <c r="F2856" s="2302">
        <v>11.0257087499118</v>
      </c>
      <c r="G2856" s="2303">
        <v>2.5523773671569501</v>
      </c>
    </row>
    <row r="2857" spans="1:7" x14ac:dyDescent="0.3">
      <c r="A2857" s="6" t="s">
        <v>1027</v>
      </c>
      <c r="B2857" s="6"/>
      <c r="C2857" s="2296">
        <v>35</v>
      </c>
      <c r="D2857" s="2296">
        <v>10920.219795872399</v>
      </c>
      <c r="E2857" s="2297">
        <v>2991.52153022634</v>
      </c>
      <c r="F2857" s="2298">
        <v>10.8818336053903</v>
      </c>
      <c r="G2857" s="2299">
        <v>2.7389220271802901</v>
      </c>
    </row>
    <row r="2858" spans="1:7" x14ac:dyDescent="0.3">
      <c r="A2858" s="11" t="s">
        <v>1029</v>
      </c>
      <c r="B2858" s="11"/>
      <c r="C2858" s="2300">
        <v>28</v>
      </c>
      <c r="D2858" s="2300">
        <v>9816.5039633324595</v>
      </c>
      <c r="E2858" s="2301">
        <v>3109.63177860306</v>
      </c>
      <c r="F2858" s="2302">
        <v>9.7819974975242197</v>
      </c>
      <c r="G2858" s="2303">
        <v>3.5377686952193201</v>
      </c>
    </row>
    <row r="2859" spans="1:7" x14ac:dyDescent="0.3">
      <c r="A2859" s="6" t="s">
        <v>1023</v>
      </c>
      <c r="B2859" s="6"/>
      <c r="C2859" s="2296">
        <v>22</v>
      </c>
      <c r="D2859" s="2296">
        <v>8392.1527059596992</v>
      </c>
      <c r="E2859" s="2297">
        <v>2438.23293107582</v>
      </c>
      <c r="F2859" s="2298">
        <v>8.3626530458477699</v>
      </c>
      <c r="G2859" s="2299">
        <v>2.4644845604607202</v>
      </c>
    </row>
    <row r="2860" spans="1:7" x14ac:dyDescent="0.3">
      <c r="A2860" s="11" t="s">
        <v>1021</v>
      </c>
      <c r="B2860" s="11"/>
      <c r="C2860" s="2300">
        <v>34</v>
      </c>
      <c r="D2860" s="2300">
        <v>8293.3738867867196</v>
      </c>
      <c r="E2860" s="2301">
        <v>2666.66524602967</v>
      </c>
      <c r="F2860" s="2302">
        <v>8.2642214488588905</v>
      </c>
      <c r="G2860" s="2303">
        <v>2.38395130665613</v>
      </c>
    </row>
    <row r="2861" spans="1:7" x14ac:dyDescent="0.3">
      <c r="A2861" s="6" t="s">
        <v>1061</v>
      </c>
      <c r="B2861" s="6"/>
      <c r="C2861" s="2296">
        <v>19</v>
      </c>
      <c r="D2861" s="2296">
        <v>6453.2463140724103</v>
      </c>
      <c r="E2861" s="2297">
        <v>1296.54369803346</v>
      </c>
      <c r="F2861" s="2298">
        <v>6.4305621971892002</v>
      </c>
      <c r="G2861" s="2299">
        <v>0.92947468368305397</v>
      </c>
    </row>
    <row r="2862" spans="1:7" x14ac:dyDescent="0.3">
      <c r="A2862" s="11" t="s">
        <v>1040</v>
      </c>
      <c r="B2862" s="11"/>
      <c r="C2862" s="2300">
        <v>21</v>
      </c>
      <c r="D2862" s="2300">
        <v>6381.4235056777898</v>
      </c>
      <c r="E2862" s="2301">
        <v>2022.76925005105</v>
      </c>
      <c r="F2862" s="2302">
        <v>6.3589918566070898</v>
      </c>
      <c r="G2862" s="2303">
        <v>1.8581588200135499</v>
      </c>
    </row>
    <row r="2863" spans="1:7" x14ac:dyDescent="0.3">
      <c r="A2863" s="6" t="s">
        <v>1063</v>
      </c>
      <c r="B2863" s="6"/>
      <c r="C2863" s="2296">
        <v>21</v>
      </c>
      <c r="D2863" s="2296">
        <v>4694.5898475158301</v>
      </c>
      <c r="E2863" s="2297">
        <v>2007.76379372217</v>
      </c>
      <c r="F2863" s="2298">
        <v>4.6780876686686401</v>
      </c>
      <c r="G2863" s="2299">
        <v>2.2356452818501902</v>
      </c>
    </row>
    <row r="2864" spans="1:7" x14ac:dyDescent="0.3">
      <c r="A2864" s="11" t="s">
        <v>1065</v>
      </c>
      <c r="B2864" s="11"/>
      <c r="C2864" s="2300">
        <v>15</v>
      </c>
      <c r="D2864" s="2300">
        <v>4602.5314890843802</v>
      </c>
      <c r="E2864" s="2301">
        <v>1820.1832681005101</v>
      </c>
      <c r="F2864" s="2302">
        <v>4.5863529090061004</v>
      </c>
      <c r="G2864" s="2303">
        <v>1.8509942378316799</v>
      </c>
    </row>
    <row r="2865" spans="1:7" x14ac:dyDescent="0.3">
      <c r="A2865" s="6" t="s">
        <v>1219</v>
      </c>
      <c r="B2865" s="6"/>
      <c r="C2865" s="2296">
        <v>16</v>
      </c>
      <c r="D2865" s="2296">
        <v>4170.4502986727803</v>
      </c>
      <c r="E2865" s="2297">
        <v>1919.94027061415</v>
      </c>
      <c r="F2865" s="2298">
        <v>4.1557905479943704</v>
      </c>
      <c r="G2865" s="2299">
        <v>1.61476030810829</v>
      </c>
    </row>
    <row r="2866" spans="1:7" x14ac:dyDescent="0.3">
      <c r="A2866" s="11" t="s">
        <v>1019</v>
      </c>
      <c r="B2866" s="11" t="s">
        <v>1020</v>
      </c>
      <c r="C2866" s="2300">
        <v>1862</v>
      </c>
      <c r="D2866" s="2300">
        <v>517765.57136522001</v>
      </c>
      <c r="E2866" s="2301">
        <v>6481.4214061329203</v>
      </c>
      <c r="F2866" s="2302">
        <v>99.657407372932497</v>
      </c>
      <c r="G2866" s="2303">
        <v>0.23615504164394099</v>
      </c>
    </row>
    <row r="2867" spans="1:7" x14ac:dyDescent="0.3">
      <c r="A2867" s="6" t="s">
        <v>1017</v>
      </c>
      <c r="B2867" s="6" t="s">
        <v>1018</v>
      </c>
      <c r="C2867" s="2296">
        <v>2</v>
      </c>
      <c r="D2867" s="2296">
        <v>1708.0859610449099</v>
      </c>
      <c r="E2867" s="2297">
        <v>1222.1225705627</v>
      </c>
      <c r="F2867" s="2298">
        <v>0.32876542563269001</v>
      </c>
      <c r="G2867" s="2299">
        <v>0.235453765185972</v>
      </c>
    </row>
    <row r="2868" spans="1:7" x14ac:dyDescent="0.3">
      <c r="A2868" s="11" t="s">
        <v>1015</v>
      </c>
      <c r="B2868" s="11" t="s">
        <v>1092</v>
      </c>
      <c r="C2868" s="2300">
        <v>1</v>
      </c>
      <c r="D2868" s="2300">
        <v>71.838602267605395</v>
      </c>
      <c r="E2868" s="2301">
        <v>94.293039157974206</v>
      </c>
      <c r="F2868" s="2302">
        <v>1.3827201434826301E-2</v>
      </c>
      <c r="G2868" s="2303">
        <v>1.8128456507903401E-2</v>
      </c>
    </row>
    <row r="2869" spans="1:7" x14ac:dyDescent="0.3">
      <c r="A2869" s="6" t="s">
        <v>6354</v>
      </c>
      <c r="B2869" s="6" t="s">
        <v>6355</v>
      </c>
      <c r="C2869" s="2296">
        <v>314</v>
      </c>
      <c r="D2869" s="2296">
        <v>100352.754801021</v>
      </c>
      <c r="E2869" s="2297">
        <v>9994.4382098461992</v>
      </c>
      <c r="F2869" s="2298">
        <v>16.188584930335999</v>
      </c>
      <c r="G2869" s="2299">
        <v>1.4393734942240799</v>
      </c>
    </row>
    <row r="2870" spans="1:7" x14ac:dyDescent="0.3">
      <c r="A2870" s="11" t="s">
        <v>6354</v>
      </c>
      <c r="B2870" s="11" t="s">
        <v>6356</v>
      </c>
      <c r="C2870" s="2300">
        <v>2179</v>
      </c>
      <c r="D2870" s="2300">
        <v>619898.25072955305</v>
      </c>
      <c r="E2870" s="2301">
        <v>0</v>
      </c>
      <c r="F2870" s="2302">
        <v>100</v>
      </c>
      <c r="G2870" s="2303">
        <v>0</v>
      </c>
    </row>
    <row r="2871" spans="1:7" x14ac:dyDescent="0.3">
      <c r="A2871" s="3449" t="s">
        <v>187</v>
      </c>
      <c r="B2871" s="3450"/>
      <c r="C2871" s="3450"/>
      <c r="D2871" s="3450"/>
      <c r="E2871" s="3450"/>
      <c r="F2871" s="3450"/>
      <c r="G2871" s="3450"/>
    </row>
    <row r="2872" spans="1:7" x14ac:dyDescent="0.3">
      <c r="A2872" s="11" t="s">
        <v>1019</v>
      </c>
      <c r="B2872" s="11" t="s">
        <v>1020</v>
      </c>
      <c r="C2872" s="2308">
        <v>1862</v>
      </c>
      <c r="D2872" s="2308">
        <v>517765.57136522001</v>
      </c>
      <c r="E2872" s="2309">
        <v>6481.4214061329203</v>
      </c>
      <c r="F2872" s="2310">
        <v>94.908557554260298</v>
      </c>
      <c r="G2872" s="2311">
        <v>1.0093541226218099</v>
      </c>
    </row>
    <row r="2873" spans="1:7" x14ac:dyDescent="0.3">
      <c r="A2873" s="6" t="s">
        <v>1213</v>
      </c>
      <c r="B2873" s="6" t="s">
        <v>1092</v>
      </c>
      <c r="C2873" s="2304">
        <v>52</v>
      </c>
      <c r="D2873" s="2304">
        <v>21330.438787234401</v>
      </c>
      <c r="E2873" s="2305">
        <v>2656.2144188939701</v>
      </c>
      <c r="F2873" s="2306">
        <v>3.90995711043109</v>
      </c>
      <c r="G2873" s="2307">
        <v>0.46519800267599698</v>
      </c>
    </row>
    <row r="2874" spans="1:7" x14ac:dyDescent="0.3">
      <c r="A2874" s="11" t="s">
        <v>1214</v>
      </c>
      <c r="B2874" s="11" t="s">
        <v>1018</v>
      </c>
      <c r="C2874" s="2308">
        <v>8</v>
      </c>
      <c r="D2874" s="2308">
        <v>5443.7081854738299</v>
      </c>
      <c r="E2874" s="2309">
        <v>4230.7376626208397</v>
      </c>
      <c r="F2874" s="2310">
        <v>0.99785408726067004</v>
      </c>
      <c r="G2874" s="2311">
        <v>0.77184608038423397</v>
      </c>
    </row>
    <row r="2875" spans="1:7" x14ac:dyDescent="0.3">
      <c r="A2875" s="6" t="s">
        <v>1017</v>
      </c>
      <c r="B2875" s="6" t="s">
        <v>1086</v>
      </c>
      <c r="C2875" s="2304">
        <v>1</v>
      </c>
      <c r="D2875" s="2304">
        <v>1001.78467059407</v>
      </c>
      <c r="E2875" s="2305">
        <v>996.76699031945395</v>
      </c>
      <c r="F2875" s="2306">
        <v>0.18363124804794601</v>
      </c>
      <c r="G2875" s="2307">
        <v>0.18287544059411001</v>
      </c>
    </row>
    <row r="2876" spans="1:7" x14ac:dyDescent="0.3">
      <c r="A2876" s="11" t="s">
        <v>6354</v>
      </c>
      <c r="B2876" s="11" t="s">
        <v>6355</v>
      </c>
      <c r="C2876" s="2308">
        <v>243</v>
      </c>
      <c r="D2876" s="2308">
        <v>74356.747721030901</v>
      </c>
      <c r="E2876" s="2309">
        <v>8680.1153618856006</v>
      </c>
      <c r="F2876" s="2310">
        <v>11.994992344876101</v>
      </c>
      <c r="G2876" s="2311">
        <v>1.2933511299670599</v>
      </c>
    </row>
    <row r="2877" spans="1:7" x14ac:dyDescent="0.3">
      <c r="A2877" s="6" t="s">
        <v>6354</v>
      </c>
      <c r="B2877" s="6" t="s">
        <v>6356</v>
      </c>
      <c r="C2877" s="2304">
        <v>2166</v>
      </c>
      <c r="D2877" s="2304">
        <v>619898.25072955305</v>
      </c>
      <c r="E2877" s="2305">
        <v>0</v>
      </c>
      <c r="F2877" s="2306">
        <v>100</v>
      </c>
      <c r="G2877" s="2307">
        <v>0</v>
      </c>
    </row>
    <row r="2878" spans="1:7" x14ac:dyDescent="0.3">
      <c r="A2878" s="3449" t="s">
        <v>872</v>
      </c>
      <c r="B2878" s="3450"/>
      <c r="C2878" s="3450"/>
      <c r="D2878" s="3450"/>
      <c r="E2878" s="3450"/>
      <c r="F2878" s="3450"/>
      <c r="G2878" s="3450"/>
    </row>
    <row r="2879" spans="1:7" x14ac:dyDescent="0.3">
      <c r="A2879" s="11" t="s">
        <v>1021</v>
      </c>
      <c r="B2879" s="11" t="s">
        <v>1106</v>
      </c>
      <c r="C2879" s="2316">
        <v>92</v>
      </c>
      <c r="D2879" s="2316">
        <v>22270.001401821599</v>
      </c>
      <c r="E2879" s="2317">
        <v>2695.2151378861799</v>
      </c>
      <c r="F2879" s="2318">
        <v>100</v>
      </c>
      <c r="G2879" s="2319">
        <v>0</v>
      </c>
    </row>
    <row r="2880" spans="1:7" x14ac:dyDescent="0.3">
      <c r="A2880" s="6" t="s">
        <v>1019</v>
      </c>
      <c r="B2880" s="6" t="s">
        <v>1020</v>
      </c>
      <c r="C2880" s="2312">
        <v>2087</v>
      </c>
      <c r="D2880" s="2312">
        <v>597628.24932773295</v>
      </c>
      <c r="E2880" s="2313">
        <v>7674.7413318716699</v>
      </c>
      <c r="F2880" s="2314">
        <v>100</v>
      </c>
      <c r="G2880" s="2315">
        <v>0</v>
      </c>
    </row>
    <row r="2881" spans="1:7" x14ac:dyDescent="0.3">
      <c r="A2881" s="11" t="s">
        <v>6354</v>
      </c>
      <c r="B2881" s="11" t="s">
        <v>6355</v>
      </c>
      <c r="C2881" s="2316">
        <v>92</v>
      </c>
      <c r="D2881" s="2316">
        <v>22270.001401821599</v>
      </c>
      <c r="E2881" s="2317">
        <v>2695.2151378861799</v>
      </c>
      <c r="F2881" s="2318">
        <v>3.59252528549841</v>
      </c>
      <c r="G2881" s="2319">
        <v>0.40783051900045197</v>
      </c>
    </row>
    <row r="2882" spans="1:7" x14ac:dyDescent="0.3">
      <c r="A2882" s="6" t="s">
        <v>6354</v>
      </c>
      <c r="B2882" s="6" t="s">
        <v>6356</v>
      </c>
      <c r="C2882" s="2312">
        <v>2179</v>
      </c>
      <c r="D2882" s="2312">
        <v>619898.25072955503</v>
      </c>
      <c r="E2882" s="2313">
        <v>0</v>
      </c>
      <c r="F2882" s="2314">
        <v>100</v>
      </c>
      <c r="G2882" s="2315">
        <v>0</v>
      </c>
    </row>
    <row r="2883" spans="1:7" x14ac:dyDescent="0.3">
      <c r="A2883" s="3449" t="s">
        <v>184</v>
      </c>
      <c r="B2883" s="3450"/>
      <c r="C2883" s="3450"/>
      <c r="D2883" s="3450"/>
      <c r="E2883" s="3450"/>
      <c r="F2883" s="3450"/>
      <c r="G2883" s="3450"/>
    </row>
    <row r="2884" spans="1:7" x14ac:dyDescent="0.3">
      <c r="A2884" s="11" t="s">
        <v>1021</v>
      </c>
      <c r="B2884" s="11" t="s">
        <v>1208</v>
      </c>
      <c r="C2884" s="2324">
        <v>43</v>
      </c>
      <c r="D2884" s="2324">
        <v>22706.799260580101</v>
      </c>
      <c r="E2884" s="2325">
        <v>5791.2236218117796</v>
      </c>
      <c r="F2884" s="2326">
        <v>85.9213955011829</v>
      </c>
      <c r="G2884" s="2327">
        <v>8.9282061493442306</v>
      </c>
    </row>
    <row r="2885" spans="1:7" x14ac:dyDescent="0.3">
      <c r="A2885" s="6" t="s">
        <v>1023</v>
      </c>
      <c r="B2885" s="6" t="s">
        <v>1209</v>
      </c>
      <c r="C2885" s="2320">
        <v>10</v>
      </c>
      <c r="D2885" s="2320">
        <v>3038.8050914484102</v>
      </c>
      <c r="E2885" s="2321">
        <v>2219.05915822815</v>
      </c>
      <c r="F2885" s="2322">
        <v>11.4986868522075</v>
      </c>
      <c r="G2885" s="2323">
        <v>8.2122423446675406</v>
      </c>
    </row>
    <row r="2886" spans="1:7" x14ac:dyDescent="0.3">
      <c r="A2886" s="11" t="s">
        <v>1025</v>
      </c>
      <c r="B2886" s="11" t="s">
        <v>1210</v>
      </c>
      <c r="C2886" s="2324">
        <v>3</v>
      </c>
      <c r="D2886" s="2324">
        <v>632.47522636272299</v>
      </c>
      <c r="E2886" s="2325">
        <v>430.71343271608401</v>
      </c>
      <c r="F2886" s="2326">
        <v>2.3932547007342202</v>
      </c>
      <c r="G2886" s="2327">
        <v>1.6719192423286</v>
      </c>
    </row>
    <row r="2887" spans="1:7" x14ac:dyDescent="0.3">
      <c r="A2887" s="6" t="s">
        <v>1027</v>
      </c>
      <c r="B2887" s="6" t="s">
        <v>1211</v>
      </c>
      <c r="C2887" s="2320">
        <v>1</v>
      </c>
      <c r="D2887" s="2320">
        <v>49.330181576510697</v>
      </c>
      <c r="E2887" s="2321">
        <v>53.241247745520297</v>
      </c>
      <c r="F2887" s="2322">
        <v>0.186662945875369</v>
      </c>
      <c r="G2887" s="2323">
        <v>0.195776235955339</v>
      </c>
    </row>
    <row r="2888" spans="1:7" x14ac:dyDescent="0.3">
      <c r="A2888" s="11" t="s">
        <v>1019</v>
      </c>
      <c r="B2888" s="11" t="s">
        <v>1020</v>
      </c>
      <c r="C2888" s="2324">
        <v>2118</v>
      </c>
      <c r="D2888" s="2324">
        <v>592122.31908625201</v>
      </c>
      <c r="E2888" s="2325">
        <v>9016.0867633029702</v>
      </c>
      <c r="F2888" s="2326">
        <v>99.772773691605195</v>
      </c>
      <c r="G2888" s="2327">
        <v>0.168317401318962</v>
      </c>
    </row>
    <row r="2889" spans="1:7" x14ac:dyDescent="0.3">
      <c r="A2889" s="6" t="s">
        <v>1017</v>
      </c>
      <c r="B2889" s="6" t="s">
        <v>1018</v>
      </c>
      <c r="C2889" s="2320">
        <v>2</v>
      </c>
      <c r="D2889" s="2320">
        <v>1207.2463769446599</v>
      </c>
      <c r="E2889" s="2321">
        <v>1003.6353450324</v>
      </c>
      <c r="F2889" s="2322">
        <v>0.20342134669536799</v>
      </c>
      <c r="G2889" s="2323">
        <v>0.16984359802879601</v>
      </c>
    </row>
    <row r="2890" spans="1:7" x14ac:dyDescent="0.3">
      <c r="A2890" s="11" t="s">
        <v>1015</v>
      </c>
      <c r="B2890" s="11" t="s">
        <v>1016</v>
      </c>
      <c r="C2890" s="2324">
        <v>2</v>
      </c>
      <c r="D2890" s="2324">
        <v>141.27550638984499</v>
      </c>
      <c r="E2890" s="2325">
        <v>77.349948862465794</v>
      </c>
      <c r="F2890" s="2326">
        <v>2.3804961699387801E-2</v>
      </c>
      <c r="G2890" s="2327">
        <v>1.30583381628098E-2</v>
      </c>
    </row>
    <row r="2891" spans="1:7" x14ac:dyDescent="0.3">
      <c r="A2891" s="6" t="s">
        <v>6354</v>
      </c>
      <c r="B2891" s="6" t="s">
        <v>6355</v>
      </c>
      <c r="C2891" s="2320">
        <v>57</v>
      </c>
      <c r="D2891" s="2320">
        <v>26427.409759967799</v>
      </c>
      <c r="E2891" s="2321">
        <v>5457.3308355286799</v>
      </c>
      <c r="F2891" s="2322">
        <v>4.2631850838206997</v>
      </c>
      <c r="G2891" s="2323">
        <v>0.860465888944834</v>
      </c>
    </row>
    <row r="2892" spans="1:7" x14ac:dyDescent="0.3">
      <c r="A2892" s="11" t="s">
        <v>6354</v>
      </c>
      <c r="B2892" s="11" t="s">
        <v>6356</v>
      </c>
      <c r="C2892" s="2324">
        <v>2179</v>
      </c>
      <c r="D2892" s="2324">
        <v>619898.25072955398</v>
      </c>
      <c r="E2892" s="2325">
        <v>0</v>
      </c>
      <c r="F2892" s="2326">
        <v>100</v>
      </c>
      <c r="G2892" s="2327">
        <v>0</v>
      </c>
    </row>
    <row r="2893" spans="1:7" x14ac:dyDescent="0.3">
      <c r="A2893" s="3449" t="s">
        <v>43</v>
      </c>
      <c r="B2893" s="3450"/>
      <c r="C2893" s="3450"/>
      <c r="D2893" s="3450"/>
      <c r="E2893" s="3450"/>
      <c r="F2893" s="3450"/>
      <c r="G2893" s="3450"/>
    </row>
    <row r="2894" spans="1:7" x14ac:dyDescent="0.3">
      <c r="A2894" s="11" t="s">
        <v>1019</v>
      </c>
      <c r="B2894" s="11" t="s">
        <v>1020</v>
      </c>
      <c r="C2894" s="2332">
        <v>560</v>
      </c>
      <c r="D2894" s="2332">
        <v>200142.259807828</v>
      </c>
      <c r="E2894" s="2333">
        <v>21709.832068199001</v>
      </c>
      <c r="F2894" s="2334">
        <v>99.097562627826207</v>
      </c>
      <c r="G2894" s="2335">
        <v>0.34826147128517898</v>
      </c>
    </row>
    <row r="2895" spans="1:7" x14ac:dyDescent="0.3">
      <c r="A2895" s="6" t="s">
        <v>1044</v>
      </c>
      <c r="B2895" s="6" t="s">
        <v>1045</v>
      </c>
      <c r="C2895" s="2328">
        <v>10</v>
      </c>
      <c r="D2895" s="2328">
        <v>1822.6064316054701</v>
      </c>
      <c r="E2895" s="2329">
        <v>728.990798554393</v>
      </c>
      <c r="F2895" s="2330">
        <v>0.90243737217379605</v>
      </c>
      <c r="G2895" s="2331">
        <v>0.34826147128517998</v>
      </c>
    </row>
    <row r="2896" spans="1:7" x14ac:dyDescent="0.3">
      <c r="A2896" s="11" t="s">
        <v>6354</v>
      </c>
      <c r="B2896" s="11" t="s">
        <v>6355</v>
      </c>
      <c r="C2896" s="2332">
        <v>1577</v>
      </c>
      <c r="D2896" s="2332">
        <v>417933.384490119</v>
      </c>
      <c r="E2896" s="2333">
        <v>23497.671483974202</v>
      </c>
      <c r="F2896" s="2334">
        <v>67.419674760859095</v>
      </c>
      <c r="G2896" s="2335">
        <v>3.554210235792</v>
      </c>
    </row>
    <row r="2897" spans="1:7" x14ac:dyDescent="0.3">
      <c r="A2897" s="6" t="s">
        <v>6354</v>
      </c>
      <c r="B2897" s="6" t="s">
        <v>6356</v>
      </c>
      <c r="C2897" s="2328">
        <v>2147</v>
      </c>
      <c r="D2897" s="2328">
        <v>619898.25072955305</v>
      </c>
      <c r="E2897" s="2329">
        <v>0</v>
      </c>
      <c r="F2897" s="2330">
        <v>100</v>
      </c>
      <c r="G2897" s="2331">
        <v>0</v>
      </c>
    </row>
    <row r="2898" spans="1:7" x14ac:dyDescent="0.3">
      <c r="A2898" s="3449" t="s">
        <v>344</v>
      </c>
      <c r="B2898" s="3450"/>
      <c r="C2898" s="3450"/>
      <c r="D2898" s="3450"/>
      <c r="E2898" s="3450"/>
      <c r="F2898" s="3450"/>
      <c r="G2898" s="3450"/>
    </row>
    <row r="2899" spans="1:7" x14ac:dyDescent="0.3">
      <c r="A2899" s="11" t="s">
        <v>1023</v>
      </c>
      <c r="B2899" s="11" t="s">
        <v>1107</v>
      </c>
      <c r="C2899" s="2340">
        <v>2154</v>
      </c>
      <c r="D2899" s="2340">
        <v>612668.39797098504</v>
      </c>
      <c r="E2899" s="2341">
        <v>7717.0651084643196</v>
      </c>
      <c r="F2899" s="2342">
        <v>98.833703313396896</v>
      </c>
      <c r="G2899" s="2343">
        <v>0.42554713677295802</v>
      </c>
    </row>
    <row r="2900" spans="1:7" x14ac:dyDescent="0.3">
      <c r="A2900" s="6" t="s">
        <v>1021</v>
      </c>
      <c r="B2900" s="6" t="s">
        <v>1106</v>
      </c>
      <c r="C2900" s="2336">
        <v>25</v>
      </c>
      <c r="D2900" s="2336">
        <v>7229.8527585696702</v>
      </c>
      <c r="E2900" s="2337">
        <v>2694.63104540216</v>
      </c>
      <c r="F2900" s="2338">
        <v>1.1662966866031499</v>
      </c>
      <c r="G2900" s="2339">
        <v>0.42554713677295603</v>
      </c>
    </row>
    <row r="2901" spans="1:7" x14ac:dyDescent="0.3">
      <c r="A2901" s="11" t="s">
        <v>6354</v>
      </c>
      <c r="B2901" s="11" t="s">
        <v>6355</v>
      </c>
      <c r="C2901" s="2340">
        <v>2179</v>
      </c>
      <c r="D2901" s="2340">
        <v>619898.25072955503</v>
      </c>
      <c r="E2901" s="2341">
        <v>8816.4550720346506</v>
      </c>
      <c r="F2901" s="2342">
        <v>100</v>
      </c>
      <c r="G2901" s="2343">
        <v>1.45362315675074E-14</v>
      </c>
    </row>
    <row r="2902" spans="1:7" x14ac:dyDescent="0.3">
      <c r="A2902" s="6" t="s">
        <v>6354</v>
      </c>
      <c r="B2902" s="6" t="s">
        <v>6356</v>
      </c>
      <c r="C2902" s="2336">
        <v>2179</v>
      </c>
      <c r="D2902" s="2336">
        <v>619898.25072955503</v>
      </c>
      <c r="E2902" s="2337">
        <v>0</v>
      </c>
      <c r="F2902" s="2338">
        <v>100</v>
      </c>
      <c r="G2902" s="2339">
        <v>0</v>
      </c>
    </row>
    <row r="2903" spans="1:7" x14ac:dyDescent="0.3">
      <c r="A2903" s="3451" t="s">
        <v>1199</v>
      </c>
      <c r="B2903" s="3450"/>
      <c r="C2903" s="3450"/>
      <c r="D2903" s="3450"/>
      <c r="E2903" s="3450"/>
      <c r="F2903" s="3450"/>
      <c r="G2903" s="3450"/>
    </row>
    <row r="2904" spans="1:7" x14ac:dyDescent="0.3">
      <c r="A2904" s="3449" t="s">
        <v>320</v>
      </c>
      <c r="B2904" s="3450"/>
      <c r="C2904" s="3450"/>
      <c r="D2904" s="3450"/>
      <c r="E2904" s="3450"/>
      <c r="F2904" s="3450"/>
      <c r="G2904" s="3450"/>
    </row>
    <row r="2905" spans="1:7" x14ac:dyDescent="0.3">
      <c r="A2905" s="11" t="s">
        <v>6354</v>
      </c>
      <c r="B2905" s="11" t="s">
        <v>6355</v>
      </c>
      <c r="C2905" s="2348">
        <v>6261</v>
      </c>
      <c r="D2905" s="2348">
        <v>667513070.14618003</v>
      </c>
      <c r="E2905" s="2349">
        <v>23529830.745544098</v>
      </c>
      <c r="F2905" s="2350">
        <v>100</v>
      </c>
      <c r="G2905" s="2351">
        <v>1.00184062299098E-13</v>
      </c>
    </row>
    <row r="2906" spans="1:7" x14ac:dyDescent="0.3">
      <c r="A2906" s="6" t="s">
        <v>6354</v>
      </c>
      <c r="B2906" s="6" t="s">
        <v>6356</v>
      </c>
      <c r="C2906" s="2344">
        <v>6261</v>
      </c>
      <c r="D2906" s="2344">
        <v>667513070.14618003</v>
      </c>
      <c r="E2906" s="2345">
        <v>0</v>
      </c>
      <c r="F2906" s="2346">
        <v>100</v>
      </c>
      <c r="G2906" s="2347">
        <v>0</v>
      </c>
    </row>
    <row r="2907" spans="1:7" x14ac:dyDescent="0.3">
      <c r="A2907" s="3449" t="s">
        <v>527</v>
      </c>
      <c r="B2907" s="3450"/>
      <c r="C2907" s="3450"/>
      <c r="D2907" s="3450"/>
      <c r="E2907" s="3450"/>
      <c r="F2907" s="3450"/>
      <c r="G2907" s="3450"/>
    </row>
    <row r="2908" spans="1:7" x14ac:dyDescent="0.3">
      <c r="A2908" s="11" t="s">
        <v>1021</v>
      </c>
      <c r="B2908" s="11"/>
      <c r="C2908" s="2356">
        <v>4182</v>
      </c>
      <c r="D2908" s="2356">
        <v>334897517.91428101</v>
      </c>
      <c r="E2908" s="2357">
        <v>6427564.7139984202</v>
      </c>
      <c r="F2908" s="2358">
        <v>50.170930412035403</v>
      </c>
      <c r="G2908" s="2359">
        <v>1.48628303916932</v>
      </c>
    </row>
    <row r="2909" spans="1:7" x14ac:dyDescent="0.3">
      <c r="A2909" s="6" t="s">
        <v>1023</v>
      </c>
      <c r="B2909" s="6"/>
      <c r="C2909" s="2352">
        <v>2209</v>
      </c>
      <c r="D2909" s="2352">
        <v>195501675.015876</v>
      </c>
      <c r="E2909" s="2353">
        <v>10348009.856915001</v>
      </c>
      <c r="F2909" s="2354">
        <v>29.288066969694398</v>
      </c>
      <c r="G2909" s="2355">
        <v>1.1040640325443001</v>
      </c>
    </row>
    <row r="2910" spans="1:7" x14ac:dyDescent="0.3">
      <c r="A2910" s="11" t="s">
        <v>1025</v>
      </c>
      <c r="B2910" s="11"/>
      <c r="C2910" s="2356">
        <v>668</v>
      </c>
      <c r="D2910" s="2356">
        <v>82131586.830690101</v>
      </c>
      <c r="E2910" s="2357">
        <v>11394237.140382299</v>
      </c>
      <c r="F2910" s="2358">
        <v>12.3041166538812</v>
      </c>
      <c r="G2910" s="2359">
        <v>1.3925387245482199</v>
      </c>
    </row>
    <row r="2911" spans="1:7" x14ac:dyDescent="0.3">
      <c r="A2911" s="6" t="s">
        <v>1027</v>
      </c>
      <c r="B2911" s="6"/>
      <c r="C2911" s="2352">
        <v>321</v>
      </c>
      <c r="D2911" s="2352">
        <v>39396918.108847097</v>
      </c>
      <c r="E2911" s="2353">
        <v>6294067.7783468002</v>
      </c>
      <c r="F2911" s="2354">
        <v>5.9020444498891296</v>
      </c>
      <c r="G2911" s="2355">
        <v>0.77583374051196796</v>
      </c>
    </row>
    <row r="2912" spans="1:7" x14ac:dyDescent="0.3">
      <c r="A2912" s="11" t="s">
        <v>1029</v>
      </c>
      <c r="B2912" s="11"/>
      <c r="C2912" s="2356">
        <v>105</v>
      </c>
      <c r="D2912" s="2356">
        <v>11184049.526416499</v>
      </c>
      <c r="E2912" s="2357">
        <v>1791000.1252842699</v>
      </c>
      <c r="F2912" s="2358">
        <v>1.67548023051703</v>
      </c>
      <c r="G2912" s="2359">
        <v>0.26398530504544299</v>
      </c>
    </row>
    <row r="2913" spans="1:7" x14ac:dyDescent="0.3">
      <c r="A2913" s="6" t="s">
        <v>1031</v>
      </c>
      <c r="B2913" s="6"/>
      <c r="C2913" s="2352">
        <v>18</v>
      </c>
      <c r="D2913" s="2352">
        <v>3253809.7099004001</v>
      </c>
      <c r="E2913" s="2353">
        <v>1654096.90687431</v>
      </c>
      <c r="F2913" s="2354">
        <v>0.48745258414008902</v>
      </c>
      <c r="G2913" s="2355">
        <v>0.25563365095074297</v>
      </c>
    </row>
    <row r="2914" spans="1:7" x14ac:dyDescent="0.3">
      <c r="A2914" s="11" t="s">
        <v>1040</v>
      </c>
      <c r="B2914" s="11"/>
      <c r="C2914" s="2356">
        <v>10</v>
      </c>
      <c r="D2914" s="2356">
        <v>1057370.51105885</v>
      </c>
      <c r="E2914" s="2357">
        <v>941103.23305612698</v>
      </c>
      <c r="F2914" s="2358">
        <v>0.158404465522645</v>
      </c>
      <c r="G2914" s="2359">
        <v>0.14104166258367801</v>
      </c>
    </row>
    <row r="2915" spans="1:7" x14ac:dyDescent="0.3">
      <c r="A2915" s="6" t="s">
        <v>1042</v>
      </c>
      <c r="B2915" s="6"/>
      <c r="C2915" s="2352">
        <v>2</v>
      </c>
      <c r="D2915" s="2352">
        <v>90142.5291095586</v>
      </c>
      <c r="E2915" s="2353">
        <v>92265.509668347993</v>
      </c>
      <c r="F2915" s="2354">
        <v>1.3504234320058799E-2</v>
      </c>
      <c r="G2915" s="2355">
        <v>1.37603160407779E-2</v>
      </c>
    </row>
    <row r="2916" spans="1:7" x14ac:dyDescent="0.3">
      <c r="A2916" s="11" t="s">
        <v>6354</v>
      </c>
      <c r="B2916" s="11" t="s">
        <v>6355</v>
      </c>
      <c r="C2916" s="2356">
        <v>7515</v>
      </c>
      <c r="D2916" s="2356">
        <v>667513070.14617896</v>
      </c>
      <c r="E2916" s="2357">
        <v>23529830.7455438</v>
      </c>
      <c r="F2916" s="2358">
        <v>100</v>
      </c>
      <c r="G2916" s="2359">
        <v>2.29838001744816E-14</v>
      </c>
    </row>
    <row r="2917" spans="1:7" x14ac:dyDescent="0.3">
      <c r="A2917" s="6" t="s">
        <v>6354</v>
      </c>
      <c r="B2917" s="6" t="s">
        <v>6356</v>
      </c>
      <c r="C2917" s="2352">
        <v>7515</v>
      </c>
      <c r="D2917" s="2352">
        <v>667513070.14617896</v>
      </c>
      <c r="E2917" s="2353">
        <v>0</v>
      </c>
      <c r="F2917" s="2354">
        <v>100</v>
      </c>
      <c r="G2917" s="2355">
        <v>0</v>
      </c>
    </row>
    <row r="2918" spans="1:7" x14ac:dyDescent="0.3">
      <c r="A2918" s="3449" t="s">
        <v>687</v>
      </c>
      <c r="B2918" s="3450"/>
      <c r="C2918" s="3450"/>
      <c r="D2918" s="3450"/>
      <c r="E2918" s="3450"/>
      <c r="F2918" s="3450"/>
      <c r="G2918" s="3450"/>
    </row>
    <row r="2919" spans="1:7" x14ac:dyDescent="0.3">
      <c r="A2919" s="11" t="s">
        <v>1021</v>
      </c>
      <c r="B2919" s="11"/>
      <c r="C2919" s="2364">
        <v>1809</v>
      </c>
      <c r="D2919" s="2364">
        <v>166770355.790003</v>
      </c>
      <c r="E2919" s="2365">
        <v>2607216.8805208299</v>
      </c>
      <c r="F2919" s="2366">
        <v>24.9838337627579</v>
      </c>
      <c r="G2919" s="2367">
        <v>0.55781855836289995</v>
      </c>
    </row>
    <row r="2920" spans="1:7" x14ac:dyDescent="0.3">
      <c r="A2920" s="6" t="s">
        <v>1023</v>
      </c>
      <c r="B2920" s="6"/>
      <c r="C2920" s="2360">
        <v>1764</v>
      </c>
      <c r="D2920" s="2360">
        <v>162995417.09598699</v>
      </c>
      <c r="E2920" s="2361">
        <v>3091071.4080762002</v>
      </c>
      <c r="F2920" s="2362">
        <v>24.418310949371001</v>
      </c>
      <c r="G2920" s="2363">
        <v>0.57860305078488705</v>
      </c>
    </row>
    <row r="2921" spans="1:7" x14ac:dyDescent="0.3">
      <c r="A2921" s="11" t="s">
        <v>1025</v>
      </c>
      <c r="B2921" s="11"/>
      <c r="C2921" s="2364">
        <v>1260</v>
      </c>
      <c r="D2921" s="2364">
        <v>109933846.01213901</v>
      </c>
      <c r="E2921" s="2365">
        <v>5536028.1372200698</v>
      </c>
      <c r="F2921" s="2366">
        <v>16.4691675607286</v>
      </c>
      <c r="G2921" s="2367">
        <v>0.32501982993228401</v>
      </c>
    </row>
    <row r="2922" spans="1:7" x14ac:dyDescent="0.3">
      <c r="A2922" s="6" t="s">
        <v>1027</v>
      </c>
      <c r="B2922" s="6"/>
      <c r="C2922" s="2360">
        <v>979</v>
      </c>
      <c r="D2922" s="2360">
        <v>85362009.2711339</v>
      </c>
      <c r="E2922" s="2361">
        <v>5016634.3820502497</v>
      </c>
      <c r="F2922" s="2362">
        <v>12.7880655958452</v>
      </c>
      <c r="G2922" s="2363">
        <v>0.34364696767249697</v>
      </c>
    </row>
    <row r="2923" spans="1:7" x14ac:dyDescent="0.3">
      <c r="A2923" s="11" t="s">
        <v>1029</v>
      </c>
      <c r="B2923" s="11"/>
      <c r="C2923" s="2364">
        <v>634</v>
      </c>
      <c r="D2923" s="2364">
        <v>53464520.627811998</v>
      </c>
      <c r="E2923" s="2365">
        <v>3298729.7590011698</v>
      </c>
      <c r="F2923" s="2366">
        <v>8.0095091795136906</v>
      </c>
      <c r="G2923" s="2367">
        <v>0.24968385450402</v>
      </c>
    </row>
    <row r="2924" spans="1:7" x14ac:dyDescent="0.3">
      <c r="A2924" s="6" t="s">
        <v>1031</v>
      </c>
      <c r="B2924" s="6"/>
      <c r="C2924" s="2360">
        <v>420</v>
      </c>
      <c r="D2924" s="2360">
        <v>34934195.765163898</v>
      </c>
      <c r="E2924" s="2361">
        <v>2654516.1421219301</v>
      </c>
      <c r="F2924" s="2362">
        <v>5.2334849050242003</v>
      </c>
      <c r="G2924" s="2363">
        <v>0.25301625375151199</v>
      </c>
    </row>
    <row r="2925" spans="1:7" x14ac:dyDescent="0.3">
      <c r="A2925" s="11" t="s">
        <v>1040</v>
      </c>
      <c r="B2925" s="11"/>
      <c r="C2925" s="2364">
        <v>263</v>
      </c>
      <c r="D2925" s="2364">
        <v>22081930.534382399</v>
      </c>
      <c r="E2925" s="2365">
        <v>1632135.45196362</v>
      </c>
      <c r="F2925" s="2366">
        <v>3.3080896123197401</v>
      </c>
      <c r="G2925" s="2367">
        <v>0.18824374251010201</v>
      </c>
    </row>
    <row r="2926" spans="1:7" x14ac:dyDescent="0.3">
      <c r="A2926" s="6" t="s">
        <v>1042</v>
      </c>
      <c r="B2926" s="6"/>
      <c r="C2926" s="2360">
        <v>167</v>
      </c>
      <c r="D2926" s="2360">
        <v>13496420.078485901</v>
      </c>
      <c r="E2926" s="2361">
        <v>1776537.5287384901</v>
      </c>
      <c r="F2926" s="2362">
        <v>2.0218960020558501</v>
      </c>
      <c r="G2926" s="2363">
        <v>0.227002963376013</v>
      </c>
    </row>
    <row r="2927" spans="1:7" x14ac:dyDescent="0.3">
      <c r="A2927" s="11" t="s">
        <v>1061</v>
      </c>
      <c r="B2927" s="11"/>
      <c r="C2927" s="2364">
        <v>110</v>
      </c>
      <c r="D2927" s="2364">
        <v>9812890.0779562499</v>
      </c>
      <c r="E2927" s="2365">
        <v>1416138.3441262899</v>
      </c>
      <c r="F2927" s="2366">
        <v>1.47006710682194</v>
      </c>
      <c r="G2927" s="2367">
        <v>0.188404613588394</v>
      </c>
    </row>
    <row r="2928" spans="1:7" x14ac:dyDescent="0.3">
      <c r="A2928" s="6" t="s">
        <v>1063</v>
      </c>
      <c r="B2928" s="6"/>
      <c r="C2928" s="2360">
        <v>53</v>
      </c>
      <c r="D2928" s="2360">
        <v>4765358.5067900298</v>
      </c>
      <c r="E2928" s="2361">
        <v>570678.5484804</v>
      </c>
      <c r="F2928" s="2362">
        <v>0.71389740814310199</v>
      </c>
      <c r="G2928" s="2363">
        <v>8.2079585666115298E-2</v>
      </c>
    </row>
    <row r="2929" spans="1:7" x14ac:dyDescent="0.3">
      <c r="A2929" s="11" t="s">
        <v>1065</v>
      </c>
      <c r="B2929" s="11"/>
      <c r="C2929" s="2364">
        <v>29</v>
      </c>
      <c r="D2929" s="2364">
        <v>2304121.6173521499</v>
      </c>
      <c r="E2929" s="2365">
        <v>627105.17690765206</v>
      </c>
      <c r="F2929" s="2366">
        <v>0.34518000027288798</v>
      </c>
      <c r="G2929" s="2367">
        <v>9.5118301562281696E-2</v>
      </c>
    </row>
    <row r="2930" spans="1:7" x14ac:dyDescent="0.3">
      <c r="A2930" s="6" t="s">
        <v>1067</v>
      </c>
      <c r="B2930" s="6"/>
      <c r="C2930" s="2360">
        <v>16</v>
      </c>
      <c r="D2930" s="2360">
        <v>1149533.5581109</v>
      </c>
      <c r="E2930" s="2361">
        <v>471631.82205277198</v>
      </c>
      <c r="F2930" s="2362">
        <v>0.172211393232969</v>
      </c>
      <c r="G2930" s="2363">
        <v>6.8059280856341706E-2</v>
      </c>
    </row>
    <row r="2931" spans="1:7" x14ac:dyDescent="0.3">
      <c r="A2931" s="11" t="s">
        <v>1069</v>
      </c>
      <c r="B2931" s="11"/>
      <c r="C2931" s="2364">
        <v>8</v>
      </c>
      <c r="D2931" s="2364">
        <v>365143.31644575798</v>
      </c>
      <c r="E2931" s="2365">
        <v>182785.04509262499</v>
      </c>
      <c r="F2931" s="2366">
        <v>5.4702047461901201E-2</v>
      </c>
      <c r="G2931" s="2367">
        <v>2.75731008627116E-2</v>
      </c>
    </row>
    <row r="2932" spans="1:7" x14ac:dyDescent="0.3">
      <c r="A2932" s="6" t="s">
        <v>1071</v>
      </c>
      <c r="B2932" s="6"/>
      <c r="C2932" s="2360">
        <v>3</v>
      </c>
      <c r="D2932" s="2360">
        <v>77327.894418333701</v>
      </c>
      <c r="E2932" s="2361">
        <v>65558.028057302494</v>
      </c>
      <c r="F2932" s="2362">
        <v>1.15844764509854E-2</v>
      </c>
      <c r="G2932" s="2363">
        <v>9.7964697151579298E-3</v>
      </c>
    </row>
    <row r="2933" spans="1:7" x14ac:dyDescent="0.3">
      <c r="A2933" s="11" t="s">
        <v>6354</v>
      </c>
      <c r="B2933" s="11" t="s">
        <v>6355</v>
      </c>
      <c r="C2933" s="2364">
        <v>7515</v>
      </c>
      <c r="D2933" s="2364">
        <v>667513070.14618003</v>
      </c>
      <c r="E2933" s="2365">
        <v>23529830.745544098</v>
      </c>
      <c r="F2933" s="2366">
        <v>100</v>
      </c>
      <c r="G2933" s="2367">
        <v>1.78031750616652E-14</v>
      </c>
    </row>
    <row r="2934" spans="1:7" x14ac:dyDescent="0.3">
      <c r="A2934" s="6" t="s">
        <v>6354</v>
      </c>
      <c r="B2934" s="6" t="s">
        <v>6356</v>
      </c>
      <c r="C2934" s="2360">
        <v>7515</v>
      </c>
      <c r="D2934" s="2360">
        <v>667513070.14618003</v>
      </c>
      <c r="E2934" s="2361">
        <v>0</v>
      </c>
      <c r="F2934" s="2362">
        <v>100</v>
      </c>
      <c r="G2934" s="2363">
        <v>0</v>
      </c>
    </row>
    <row r="2935" spans="1:7" x14ac:dyDescent="0.3">
      <c r="A2935" s="3449" t="s">
        <v>480</v>
      </c>
      <c r="B2935" s="3450"/>
      <c r="C2935" s="3450"/>
      <c r="D2935" s="3450"/>
      <c r="E2935" s="3450"/>
      <c r="F2935" s="3450"/>
      <c r="G2935" s="3450"/>
    </row>
    <row r="2936" spans="1:7" x14ac:dyDescent="0.3">
      <c r="A2936" s="11" t="s">
        <v>4375</v>
      </c>
      <c r="B2936" s="11"/>
      <c r="C2936" s="2372">
        <v>2618</v>
      </c>
      <c r="D2936" s="2372">
        <v>235288719.00440499</v>
      </c>
      <c r="E2936" s="2373">
        <v>7473318.5230011204</v>
      </c>
      <c r="F2936" s="2374">
        <v>35.248556099864501</v>
      </c>
      <c r="G2936" s="2375">
        <v>0.450601654097809</v>
      </c>
    </row>
    <row r="2937" spans="1:7" x14ac:dyDescent="0.3">
      <c r="A2937" s="6" t="s">
        <v>6566</v>
      </c>
      <c r="B2937" s="6"/>
      <c r="C2937" s="2368">
        <v>1205</v>
      </c>
      <c r="D2937" s="2368">
        <v>91502545.081110001</v>
      </c>
      <c r="E2937" s="2369">
        <v>4322948.8146998696</v>
      </c>
      <c r="F2937" s="2370">
        <v>13.7079780416991</v>
      </c>
      <c r="G2937" s="2371">
        <v>0.52499164848789304</v>
      </c>
    </row>
    <row r="2938" spans="1:7" x14ac:dyDescent="0.3">
      <c r="A2938" s="11" t="s">
        <v>6567</v>
      </c>
      <c r="B2938" s="11"/>
      <c r="C2938" s="2372">
        <v>883</v>
      </c>
      <c r="D2938" s="2372">
        <v>64208304.105112404</v>
      </c>
      <c r="E2938" s="2373">
        <v>4608657.6355802203</v>
      </c>
      <c r="F2938" s="2374">
        <v>9.6190332409597996</v>
      </c>
      <c r="G2938" s="2375">
        <v>0.39920267338645099</v>
      </c>
    </row>
    <row r="2939" spans="1:7" x14ac:dyDescent="0.3">
      <c r="A2939" s="6" t="s">
        <v>6568</v>
      </c>
      <c r="B2939" s="6"/>
      <c r="C2939" s="2368">
        <v>496</v>
      </c>
      <c r="D2939" s="2368">
        <v>51824377.446188197</v>
      </c>
      <c r="E2939" s="2369">
        <v>2640189.4283920201</v>
      </c>
      <c r="F2939" s="2370">
        <v>7.7637996563631404</v>
      </c>
      <c r="G2939" s="2371">
        <v>0.249473176994367</v>
      </c>
    </row>
    <row r="2940" spans="1:7" x14ac:dyDescent="0.3">
      <c r="A2940" s="11" t="s">
        <v>6569</v>
      </c>
      <c r="B2940" s="11"/>
      <c r="C2940" s="2372">
        <v>630</v>
      </c>
      <c r="D2940" s="2372">
        <v>44772624.576949596</v>
      </c>
      <c r="E2940" s="2373">
        <v>3663096.28470677</v>
      </c>
      <c r="F2940" s="2374">
        <v>6.7073779644711298</v>
      </c>
      <c r="G2940" s="2375">
        <v>0.40882053104951999</v>
      </c>
    </row>
    <row r="2941" spans="1:7" x14ac:dyDescent="0.3">
      <c r="A2941" s="6" t="s">
        <v>6570</v>
      </c>
      <c r="B2941" s="6"/>
      <c r="C2941" s="2368">
        <v>309</v>
      </c>
      <c r="D2941" s="2368">
        <v>36009336.5028117</v>
      </c>
      <c r="E2941" s="2369">
        <v>2758069.7217220301</v>
      </c>
      <c r="F2941" s="2370">
        <v>5.3945515246504296</v>
      </c>
      <c r="G2941" s="2371">
        <v>0.47027182144951002</v>
      </c>
    </row>
    <row r="2942" spans="1:7" x14ac:dyDescent="0.3">
      <c r="A2942" s="11" t="s">
        <v>6571</v>
      </c>
      <c r="B2942" s="11"/>
      <c r="C2942" s="2372">
        <v>407</v>
      </c>
      <c r="D2942" s="2372">
        <v>33873043.467162304</v>
      </c>
      <c r="E2942" s="2373">
        <v>3323222.1368623702</v>
      </c>
      <c r="F2942" s="2374">
        <v>5.07451389075338</v>
      </c>
      <c r="G2942" s="2375">
        <v>0.38101909804113998</v>
      </c>
    </row>
    <row r="2943" spans="1:7" x14ac:dyDescent="0.3">
      <c r="A2943" s="6" t="s">
        <v>6572</v>
      </c>
      <c r="B2943" s="6"/>
      <c r="C2943" s="2368">
        <v>246</v>
      </c>
      <c r="D2943" s="2368">
        <v>22378450.5878934</v>
      </c>
      <c r="E2943" s="2369">
        <v>3044261.0182159902</v>
      </c>
      <c r="F2943" s="2370">
        <v>3.35251122243834</v>
      </c>
      <c r="G2943" s="2371">
        <v>0.35558347908987997</v>
      </c>
    </row>
    <row r="2944" spans="1:7" x14ac:dyDescent="0.3">
      <c r="A2944" s="11" t="s">
        <v>6573</v>
      </c>
      <c r="B2944" s="11"/>
      <c r="C2944" s="2372">
        <v>143</v>
      </c>
      <c r="D2944" s="2372">
        <v>21868475.422553498</v>
      </c>
      <c r="E2944" s="2373">
        <v>3221151.4729297999</v>
      </c>
      <c r="F2944" s="2374">
        <v>3.2761119445592999</v>
      </c>
      <c r="G2944" s="2375">
        <v>0.48679316509202097</v>
      </c>
    </row>
    <row r="2945" spans="1:7" x14ac:dyDescent="0.3">
      <c r="A2945" s="6" t="s">
        <v>4924</v>
      </c>
      <c r="B2945" s="6"/>
      <c r="C2945" s="2368">
        <v>85</v>
      </c>
      <c r="D2945" s="2368">
        <v>15678228.0740289</v>
      </c>
      <c r="E2945" s="2369">
        <v>2377125.7146947701</v>
      </c>
      <c r="F2945" s="2370">
        <v>2.3487522230232201</v>
      </c>
      <c r="G2945" s="2371">
        <v>0.39077278940786703</v>
      </c>
    </row>
    <row r="2946" spans="1:7" x14ac:dyDescent="0.3">
      <c r="A2946" s="11" t="s">
        <v>6574</v>
      </c>
      <c r="B2946" s="11"/>
      <c r="C2946" s="2372">
        <v>140</v>
      </c>
      <c r="D2946" s="2372">
        <v>11685187.131949</v>
      </c>
      <c r="E2946" s="2373">
        <v>1084694.1397410801</v>
      </c>
      <c r="F2946" s="2374">
        <v>1.7505555553226899</v>
      </c>
      <c r="G2946" s="2375">
        <v>0.16410498676664001</v>
      </c>
    </row>
    <row r="2947" spans="1:7" x14ac:dyDescent="0.3">
      <c r="A2947" s="6" t="s">
        <v>6575</v>
      </c>
      <c r="B2947" s="6"/>
      <c r="C2947" s="2368">
        <v>60</v>
      </c>
      <c r="D2947" s="2368">
        <v>8686171.82083131</v>
      </c>
      <c r="E2947" s="2369">
        <v>1642477.8969457201</v>
      </c>
      <c r="F2947" s="2370">
        <v>1.30127366928248</v>
      </c>
      <c r="G2947" s="2371">
        <v>0.244600984790555</v>
      </c>
    </row>
    <row r="2948" spans="1:7" x14ac:dyDescent="0.3">
      <c r="A2948" s="11" t="s">
        <v>6576</v>
      </c>
      <c r="B2948" s="11"/>
      <c r="C2948" s="2372">
        <v>39</v>
      </c>
      <c r="D2948" s="2372">
        <v>6679011.4435178796</v>
      </c>
      <c r="E2948" s="2373">
        <v>2648535.0788067202</v>
      </c>
      <c r="F2948" s="2374">
        <v>1.0005813731939699</v>
      </c>
      <c r="G2948" s="2375">
        <v>0.39546358577687601</v>
      </c>
    </row>
    <row r="2949" spans="1:7" x14ac:dyDescent="0.3">
      <c r="A2949" s="6" t="s">
        <v>6577</v>
      </c>
      <c r="B2949" s="6"/>
      <c r="C2949" s="2368">
        <v>75</v>
      </c>
      <c r="D2949" s="2368">
        <v>5527965.3012117399</v>
      </c>
      <c r="E2949" s="2369">
        <v>1145610.1088551299</v>
      </c>
      <c r="F2949" s="2370">
        <v>0.82814338002417798</v>
      </c>
      <c r="G2949" s="2371">
        <v>0.19372588917883901</v>
      </c>
    </row>
    <row r="2950" spans="1:7" x14ac:dyDescent="0.3">
      <c r="A2950" s="11" t="s">
        <v>6578</v>
      </c>
      <c r="B2950" s="11"/>
      <c r="C2950" s="2372">
        <v>50</v>
      </c>
      <c r="D2950" s="2372">
        <v>3877724.4741497398</v>
      </c>
      <c r="E2950" s="2373">
        <v>598088.06607969396</v>
      </c>
      <c r="F2950" s="2374">
        <v>0.58092113062303696</v>
      </c>
      <c r="G2950" s="2375">
        <v>7.4606105714394202E-2</v>
      </c>
    </row>
    <row r="2951" spans="1:7" x14ac:dyDescent="0.3">
      <c r="A2951" s="6" t="s">
        <v>6579</v>
      </c>
      <c r="B2951" s="6"/>
      <c r="C2951" s="2368">
        <v>19</v>
      </c>
      <c r="D2951" s="2368">
        <v>3212049.2447653599</v>
      </c>
      <c r="E2951" s="2369">
        <v>1156828.2801765399</v>
      </c>
      <c r="F2951" s="2370">
        <v>0.48119645718127102</v>
      </c>
      <c r="G2951" s="2371">
        <v>0.17364895345975001</v>
      </c>
    </row>
    <row r="2952" spans="1:7" x14ac:dyDescent="0.3">
      <c r="A2952" s="11" t="s">
        <v>6580</v>
      </c>
      <c r="B2952" s="11"/>
      <c r="C2952" s="2372">
        <v>14</v>
      </c>
      <c r="D2952" s="2372">
        <v>2248786.0554329101</v>
      </c>
      <c r="E2952" s="2373">
        <v>695643.82654870604</v>
      </c>
      <c r="F2952" s="2374">
        <v>0.33689019077041399</v>
      </c>
      <c r="G2952" s="2375">
        <v>0.10370984591197201</v>
      </c>
    </row>
    <row r="2953" spans="1:7" x14ac:dyDescent="0.3">
      <c r="A2953" s="6" t="s">
        <v>6581</v>
      </c>
      <c r="B2953" s="6"/>
      <c r="C2953" s="2368">
        <v>25</v>
      </c>
      <c r="D2953" s="2368">
        <v>2042150.39323688</v>
      </c>
      <c r="E2953" s="2369">
        <v>886911.87197904103</v>
      </c>
      <c r="F2953" s="2370">
        <v>0.30593414340031799</v>
      </c>
      <c r="G2953" s="2371">
        <v>0.12789608552940601</v>
      </c>
    </row>
    <row r="2954" spans="1:7" x14ac:dyDescent="0.3">
      <c r="A2954" s="11" t="s">
        <v>6582</v>
      </c>
      <c r="B2954" s="11"/>
      <c r="C2954" s="2372">
        <v>6</v>
      </c>
      <c r="D2954" s="2372">
        <v>1243616.3234236899</v>
      </c>
      <c r="E2954" s="2373">
        <v>705300.18255894398</v>
      </c>
      <c r="F2954" s="2374">
        <v>0.18630591355332601</v>
      </c>
      <c r="G2954" s="2375">
        <v>0.105372900654832</v>
      </c>
    </row>
    <row r="2955" spans="1:7" x14ac:dyDescent="0.3">
      <c r="A2955" s="6" t="s">
        <v>6583</v>
      </c>
      <c r="B2955" s="6"/>
      <c r="C2955" s="2368">
        <v>15</v>
      </c>
      <c r="D2955" s="2368">
        <v>795361.59225357603</v>
      </c>
      <c r="E2955" s="2369">
        <v>283784.91160100303</v>
      </c>
      <c r="F2955" s="2370">
        <v>0.119152961616077</v>
      </c>
      <c r="G2955" s="2371">
        <v>4.1802592435052202E-2</v>
      </c>
    </row>
    <row r="2956" spans="1:7" x14ac:dyDescent="0.3">
      <c r="A2956" s="11" t="s">
        <v>6584</v>
      </c>
      <c r="B2956" s="11"/>
      <c r="C2956" s="2372">
        <v>3</v>
      </c>
      <c r="D2956" s="2372">
        <v>759415.03762096702</v>
      </c>
      <c r="E2956" s="2373">
        <v>536280.98283523903</v>
      </c>
      <c r="F2956" s="2374">
        <v>0.113767815430889</v>
      </c>
      <c r="G2956" s="2375">
        <v>8.07374016897425E-2</v>
      </c>
    </row>
    <row r="2957" spans="1:7" x14ac:dyDescent="0.3">
      <c r="A2957" s="6" t="s">
        <v>6585</v>
      </c>
      <c r="B2957" s="6"/>
      <c r="C2957" s="2368">
        <v>13</v>
      </c>
      <c r="D2957" s="2368">
        <v>700312.436143158</v>
      </c>
      <c r="E2957" s="2369">
        <v>266507.158852247</v>
      </c>
      <c r="F2957" s="2370">
        <v>0.104913666482934</v>
      </c>
      <c r="G2957" s="2371">
        <v>3.8158176567997699E-2</v>
      </c>
    </row>
    <row r="2958" spans="1:7" x14ac:dyDescent="0.3">
      <c r="A2958" s="11" t="s">
        <v>6586</v>
      </c>
      <c r="B2958" s="11"/>
      <c r="C2958" s="2372">
        <v>9</v>
      </c>
      <c r="D2958" s="2372">
        <v>639711.97989315202</v>
      </c>
      <c r="E2958" s="2373">
        <v>276590.72671976697</v>
      </c>
      <c r="F2958" s="2374">
        <v>9.5835124210086206E-2</v>
      </c>
      <c r="G2958" s="2375">
        <v>3.9454295597846002E-2</v>
      </c>
    </row>
    <row r="2959" spans="1:7" x14ac:dyDescent="0.3">
      <c r="A2959" s="6" t="s">
        <v>6587</v>
      </c>
      <c r="B2959" s="6"/>
      <c r="C2959" s="2368">
        <v>3</v>
      </c>
      <c r="D2959" s="2368">
        <v>541391.21427456103</v>
      </c>
      <c r="E2959" s="2369">
        <v>443776.44282820402</v>
      </c>
      <c r="F2959" s="2370">
        <v>8.1105709908571605E-2</v>
      </c>
      <c r="G2959" s="2371">
        <v>6.6679749477428898E-2</v>
      </c>
    </row>
    <row r="2960" spans="1:7" x14ac:dyDescent="0.3">
      <c r="A2960" s="11" t="s">
        <v>6588</v>
      </c>
      <c r="B2960" s="11"/>
      <c r="C2960" s="2372">
        <v>1</v>
      </c>
      <c r="D2960" s="2372">
        <v>468491.13987679803</v>
      </c>
      <c r="E2960" s="2373">
        <v>464466.00444748497</v>
      </c>
      <c r="F2960" s="2374">
        <v>7.0184564292381901E-2</v>
      </c>
      <c r="G2960" s="2375">
        <v>6.95702070187081E-2</v>
      </c>
    </row>
    <row r="2961" spans="1:7" x14ac:dyDescent="0.3">
      <c r="A2961" s="6" t="s">
        <v>6589</v>
      </c>
      <c r="B2961" s="6"/>
      <c r="C2961" s="2368">
        <v>9</v>
      </c>
      <c r="D2961" s="2368">
        <v>320522.26327207999</v>
      </c>
      <c r="E2961" s="2369">
        <v>169819.320239541</v>
      </c>
      <c r="F2961" s="2370">
        <v>4.8017376379145299E-2</v>
      </c>
      <c r="G2961" s="2371">
        <v>2.4723950733139301E-2</v>
      </c>
    </row>
    <row r="2962" spans="1:7" x14ac:dyDescent="0.3">
      <c r="A2962" s="11" t="s">
        <v>6590</v>
      </c>
      <c r="B2962" s="11"/>
      <c r="C2962" s="2372">
        <v>3</v>
      </c>
      <c r="D2962" s="2372">
        <v>178223.19694860099</v>
      </c>
      <c r="E2962" s="2373">
        <v>187935.177964451</v>
      </c>
      <c r="F2962" s="2374">
        <v>2.6699581614120602E-2</v>
      </c>
      <c r="G2962" s="2375">
        <v>2.79495932907355E-2</v>
      </c>
    </row>
    <row r="2963" spans="1:7" x14ac:dyDescent="0.3">
      <c r="A2963" s="6" t="s">
        <v>6591</v>
      </c>
      <c r="B2963" s="6"/>
      <c r="C2963" s="2368">
        <v>2</v>
      </c>
      <c r="D2963" s="2368">
        <v>124762.93956996201</v>
      </c>
      <c r="E2963" s="2369">
        <v>101418.998299131</v>
      </c>
      <c r="F2963" s="2370">
        <v>1.8690711111115699E-2</v>
      </c>
      <c r="G2963" s="2371">
        <v>1.5210820197842499E-2</v>
      </c>
    </row>
    <row r="2964" spans="1:7" x14ac:dyDescent="0.3">
      <c r="A2964" s="11" t="s">
        <v>6592</v>
      </c>
      <c r="B2964" s="11"/>
      <c r="C2964" s="2372">
        <v>2</v>
      </c>
      <c r="D2964" s="2372">
        <v>118815.464632401</v>
      </c>
      <c r="E2964" s="2373">
        <v>125290.11864296701</v>
      </c>
      <c r="F2964" s="2374">
        <v>1.77997210760804E-2</v>
      </c>
      <c r="G2964" s="2375">
        <v>1.8633062193823699E-2</v>
      </c>
    </row>
    <row r="2965" spans="1:7" x14ac:dyDescent="0.3">
      <c r="A2965" s="6" t="s">
        <v>6593</v>
      </c>
      <c r="B2965" s="6"/>
      <c r="C2965" s="2368">
        <v>1</v>
      </c>
      <c r="D2965" s="2368">
        <v>59407.732316200498</v>
      </c>
      <c r="E2965" s="2369">
        <v>62645.059321483699</v>
      </c>
      <c r="F2965" s="2370">
        <v>8.8998605380402E-3</v>
      </c>
      <c r="G2965" s="2371">
        <v>9.3165310969118304E-3</v>
      </c>
    </row>
    <row r="2966" spans="1:7" x14ac:dyDescent="0.3">
      <c r="A2966" s="11" t="s">
        <v>6594</v>
      </c>
      <c r="B2966" s="11"/>
      <c r="C2966" s="2372">
        <v>1</v>
      </c>
      <c r="D2966" s="2372">
        <v>59407.732316200498</v>
      </c>
      <c r="E2966" s="2373">
        <v>62645.059321483699</v>
      </c>
      <c r="F2966" s="2374">
        <v>8.8998605380402E-3</v>
      </c>
      <c r="G2966" s="2375">
        <v>9.3165310969118304E-3</v>
      </c>
    </row>
    <row r="2967" spans="1:7" x14ac:dyDescent="0.3">
      <c r="A2967" s="6" t="s">
        <v>6595</v>
      </c>
      <c r="B2967" s="6"/>
      <c r="C2967" s="2368">
        <v>1</v>
      </c>
      <c r="D2967" s="2368">
        <v>59407.732316200498</v>
      </c>
      <c r="E2967" s="2369">
        <v>62645.059321483699</v>
      </c>
      <c r="F2967" s="2370">
        <v>8.8998605380402E-3</v>
      </c>
      <c r="G2967" s="2371">
        <v>9.3165310969118304E-3</v>
      </c>
    </row>
    <row r="2968" spans="1:7" x14ac:dyDescent="0.3">
      <c r="A2968" s="11" t="s">
        <v>6596</v>
      </c>
      <c r="B2968" s="11"/>
      <c r="C2968" s="2372">
        <v>1</v>
      </c>
      <c r="D2968" s="2372">
        <v>40943.817578424598</v>
      </c>
      <c r="E2968" s="2373">
        <v>41975.556935937697</v>
      </c>
      <c r="F2968" s="2374">
        <v>6.1337851511219397E-3</v>
      </c>
      <c r="G2968" s="2375">
        <v>6.2877025510165397E-3</v>
      </c>
    </row>
    <row r="2969" spans="1:7" x14ac:dyDescent="0.3">
      <c r="A2969" s="6" t="s">
        <v>6597</v>
      </c>
      <c r="B2969" s="6"/>
      <c r="C2969" s="2368">
        <v>1</v>
      </c>
      <c r="D2969" s="2368">
        <v>40129.410435084799</v>
      </c>
      <c r="E2969" s="2369">
        <v>42940.622755032397</v>
      </c>
      <c r="F2969" s="2370">
        <v>6.0117789792935097E-3</v>
      </c>
      <c r="G2969" s="2371">
        <v>6.3950785616213399E-3</v>
      </c>
    </row>
    <row r="2970" spans="1:7" x14ac:dyDescent="0.3">
      <c r="A2970" s="11" t="s">
        <v>6354</v>
      </c>
      <c r="B2970" s="11" t="s">
        <v>6355</v>
      </c>
      <c r="C2970" s="2372">
        <v>7515</v>
      </c>
      <c r="D2970" s="2372">
        <v>667513070.14618003</v>
      </c>
      <c r="E2970" s="2373">
        <v>23529830.745544199</v>
      </c>
      <c r="F2970" s="2374">
        <v>100</v>
      </c>
      <c r="G2970" s="2375">
        <v>1.45362315675074E-14</v>
      </c>
    </row>
    <row r="2971" spans="1:7" x14ac:dyDescent="0.3">
      <c r="A2971" s="6" t="s">
        <v>6354</v>
      </c>
      <c r="B2971" s="6" t="s">
        <v>6356</v>
      </c>
      <c r="C2971" s="2368">
        <v>7515</v>
      </c>
      <c r="D2971" s="2368">
        <v>667513070.14618003</v>
      </c>
      <c r="E2971" s="2369">
        <v>0</v>
      </c>
      <c r="F2971" s="2370">
        <v>100</v>
      </c>
      <c r="G2971" s="2371">
        <v>0</v>
      </c>
    </row>
    <row r="2972" spans="1:7" x14ac:dyDescent="0.3">
      <c r="A2972" s="3449" t="s">
        <v>397</v>
      </c>
      <c r="B2972" s="3450"/>
      <c r="C2972" s="3450"/>
      <c r="D2972" s="3450"/>
      <c r="E2972" s="3450"/>
      <c r="F2972" s="3450"/>
      <c r="G2972" s="3450"/>
    </row>
    <row r="2973" spans="1:7" x14ac:dyDescent="0.3">
      <c r="A2973" s="11" t="s">
        <v>4375</v>
      </c>
      <c r="B2973" s="11"/>
      <c r="C2973" s="2380">
        <v>2605</v>
      </c>
      <c r="D2973" s="2380">
        <v>234806129.24741501</v>
      </c>
      <c r="E2973" s="2381">
        <v>8672500.6532728001</v>
      </c>
      <c r="F2973" s="2382">
        <v>35.176259424552498</v>
      </c>
      <c r="G2973" s="2383">
        <v>0.561144518674208</v>
      </c>
    </row>
    <row r="2974" spans="1:7" x14ac:dyDescent="0.3">
      <c r="A2974" s="6" t="s">
        <v>6566</v>
      </c>
      <c r="B2974" s="6"/>
      <c r="C2974" s="2376">
        <v>1184</v>
      </c>
      <c r="D2974" s="2376">
        <v>88466404.156588599</v>
      </c>
      <c r="E2974" s="2377">
        <v>4002869.9721627999</v>
      </c>
      <c r="F2974" s="2378">
        <v>13.2531343749142</v>
      </c>
      <c r="G2974" s="2379">
        <v>0.61778815710436297</v>
      </c>
    </row>
    <row r="2975" spans="1:7" x14ac:dyDescent="0.3">
      <c r="A2975" s="11" t="s">
        <v>6567</v>
      </c>
      <c r="B2975" s="11"/>
      <c r="C2975" s="2380">
        <v>890</v>
      </c>
      <c r="D2975" s="2380">
        <v>64781900.544500902</v>
      </c>
      <c r="E2975" s="2381">
        <v>4447051.2066134801</v>
      </c>
      <c r="F2975" s="2382">
        <v>9.7049636092240306</v>
      </c>
      <c r="G2975" s="2383">
        <v>0.368490974865124</v>
      </c>
    </row>
    <row r="2976" spans="1:7" x14ac:dyDescent="0.3">
      <c r="A2976" s="6" t="s">
        <v>6568</v>
      </c>
      <c r="B2976" s="6"/>
      <c r="C2976" s="2376">
        <v>499</v>
      </c>
      <c r="D2976" s="2376">
        <v>52230337.033655398</v>
      </c>
      <c r="E2976" s="2377">
        <v>2641497.5851095198</v>
      </c>
      <c r="F2976" s="2378">
        <v>7.8246163812518796</v>
      </c>
      <c r="G2976" s="2379">
        <v>0.27081052497877101</v>
      </c>
    </row>
    <row r="2977" spans="1:7" x14ac:dyDescent="0.3">
      <c r="A2977" s="11" t="s">
        <v>6569</v>
      </c>
      <c r="B2977" s="11"/>
      <c r="C2977" s="2380">
        <v>639</v>
      </c>
      <c r="D2977" s="2380">
        <v>45512957.0999685</v>
      </c>
      <c r="E2977" s="2381">
        <v>3718785.0852371701</v>
      </c>
      <c r="F2977" s="2382">
        <v>6.8182870321927203</v>
      </c>
      <c r="G2977" s="2383">
        <v>0.40303118920042103</v>
      </c>
    </row>
    <row r="2978" spans="1:7" x14ac:dyDescent="0.3">
      <c r="A2978" s="6" t="s">
        <v>6570</v>
      </c>
      <c r="B2978" s="6"/>
      <c r="C2978" s="2376">
        <v>306</v>
      </c>
      <c r="D2978" s="2376">
        <v>36078697.087235697</v>
      </c>
      <c r="E2978" s="2377">
        <v>2647639.4471999402</v>
      </c>
      <c r="F2978" s="2378">
        <v>5.4049424199790899</v>
      </c>
      <c r="G2978" s="2379">
        <v>0.45666391003939599</v>
      </c>
    </row>
    <row r="2979" spans="1:7" x14ac:dyDescent="0.3">
      <c r="A2979" s="11" t="s">
        <v>6571</v>
      </c>
      <c r="B2979" s="11"/>
      <c r="C2979" s="2380">
        <v>416</v>
      </c>
      <c r="D2979" s="2380">
        <v>34107687.436840102</v>
      </c>
      <c r="E2979" s="2381">
        <v>3285221.63474228</v>
      </c>
      <c r="F2979" s="2382">
        <v>5.1096658570851297</v>
      </c>
      <c r="G2979" s="2383">
        <v>0.37463949792868501</v>
      </c>
    </row>
    <row r="2980" spans="1:7" x14ac:dyDescent="0.3">
      <c r="A2980" s="6" t="s">
        <v>6572</v>
      </c>
      <c r="B2980" s="6"/>
      <c r="C2980" s="2376">
        <v>248</v>
      </c>
      <c r="D2980" s="2376">
        <v>22954707.031759899</v>
      </c>
      <c r="E2980" s="2377">
        <v>3213159.0753763001</v>
      </c>
      <c r="F2980" s="2378">
        <v>3.4388400854432701</v>
      </c>
      <c r="G2980" s="2379">
        <v>0.38131047343169</v>
      </c>
    </row>
    <row r="2981" spans="1:7" x14ac:dyDescent="0.3">
      <c r="A2981" s="11" t="s">
        <v>6573</v>
      </c>
      <c r="B2981" s="11"/>
      <c r="C2981" s="2380">
        <v>143</v>
      </c>
      <c r="D2981" s="2380">
        <v>21868475.422553498</v>
      </c>
      <c r="E2981" s="2381">
        <v>3221151.4729297999</v>
      </c>
      <c r="F2981" s="2382">
        <v>3.2761119445592999</v>
      </c>
      <c r="G2981" s="2383">
        <v>0.48679316509202097</v>
      </c>
    </row>
    <row r="2982" spans="1:7" x14ac:dyDescent="0.3">
      <c r="A2982" s="6" t="s">
        <v>4924</v>
      </c>
      <c r="B2982" s="6"/>
      <c r="C2982" s="2376">
        <v>85</v>
      </c>
      <c r="D2982" s="2376">
        <v>15678228.0740289</v>
      </c>
      <c r="E2982" s="2377">
        <v>2377125.7146947701</v>
      </c>
      <c r="F2982" s="2378">
        <v>2.3487522230232201</v>
      </c>
      <c r="G2982" s="2379">
        <v>0.39077278940786803</v>
      </c>
    </row>
    <row r="2983" spans="1:7" x14ac:dyDescent="0.3">
      <c r="A2983" s="11" t="s">
        <v>6574</v>
      </c>
      <c r="B2983" s="11"/>
      <c r="C2983" s="2380">
        <v>143</v>
      </c>
      <c r="D2983" s="2380">
        <v>12192712.261602901</v>
      </c>
      <c r="E2983" s="2381">
        <v>1186896.2651740401</v>
      </c>
      <c r="F2983" s="2382">
        <v>1.8265877938439099</v>
      </c>
      <c r="G2983" s="2383">
        <v>0.17147590999215201</v>
      </c>
    </row>
    <row r="2984" spans="1:7" x14ac:dyDescent="0.3">
      <c r="A2984" s="6" t="s">
        <v>6575</v>
      </c>
      <c r="B2984" s="6"/>
      <c r="C2984" s="2376">
        <v>59</v>
      </c>
      <c r="D2984" s="2376">
        <v>8378687.1899427297</v>
      </c>
      <c r="E2984" s="2377">
        <v>1848520.88299015</v>
      </c>
      <c r="F2984" s="2378">
        <v>1.2552094580122399</v>
      </c>
      <c r="G2984" s="2379">
        <v>0.27564477131960002</v>
      </c>
    </row>
    <row r="2985" spans="1:7" x14ac:dyDescent="0.3">
      <c r="A2985" s="11" t="s">
        <v>6576</v>
      </c>
      <c r="B2985" s="11"/>
      <c r="C2985" s="2380">
        <v>39</v>
      </c>
      <c r="D2985" s="2380">
        <v>6679011.4435178796</v>
      </c>
      <c r="E2985" s="2381">
        <v>2648535.0788067202</v>
      </c>
      <c r="F2985" s="2382">
        <v>1.0005813731939699</v>
      </c>
      <c r="G2985" s="2383">
        <v>0.39546358577687701</v>
      </c>
    </row>
    <row r="2986" spans="1:7" x14ac:dyDescent="0.3">
      <c r="A2986" s="6" t="s">
        <v>6577</v>
      </c>
      <c r="B2986" s="6"/>
      <c r="C2986" s="2376">
        <v>76</v>
      </c>
      <c r="D2986" s="2376">
        <v>6003790.5058406303</v>
      </c>
      <c r="E2986" s="2377">
        <v>1109164.81857185</v>
      </c>
      <c r="F2986" s="2378">
        <v>0.89942665909535702</v>
      </c>
      <c r="G2986" s="2379">
        <v>0.184949369187109</v>
      </c>
    </row>
    <row r="2987" spans="1:7" x14ac:dyDescent="0.3">
      <c r="A2987" s="11" t="s">
        <v>6578</v>
      </c>
      <c r="B2987" s="11"/>
      <c r="C2987" s="2380">
        <v>53</v>
      </c>
      <c r="D2987" s="2380">
        <v>4077849.1122752302</v>
      </c>
      <c r="E2987" s="2381">
        <v>554545.58661306405</v>
      </c>
      <c r="F2987" s="2382">
        <v>0.61090176277480501</v>
      </c>
      <c r="G2987" s="2383">
        <v>6.7507080765660199E-2</v>
      </c>
    </row>
    <row r="2988" spans="1:7" x14ac:dyDescent="0.3">
      <c r="A2988" s="6" t="s">
        <v>6579</v>
      </c>
      <c r="B2988" s="6"/>
      <c r="C2988" s="2376">
        <v>19</v>
      </c>
      <c r="D2988" s="2376">
        <v>3212049.2447653599</v>
      </c>
      <c r="E2988" s="2377">
        <v>1156828.2801765399</v>
      </c>
      <c r="F2988" s="2378">
        <v>0.48119645718127102</v>
      </c>
      <c r="G2988" s="2379">
        <v>0.17364895345975001</v>
      </c>
    </row>
    <row r="2989" spans="1:7" x14ac:dyDescent="0.3">
      <c r="A2989" s="11" t="s">
        <v>6580</v>
      </c>
      <c r="B2989" s="11"/>
      <c r="C2989" s="2380">
        <v>14</v>
      </c>
      <c r="D2989" s="2380">
        <v>2248786.0554329101</v>
      </c>
      <c r="E2989" s="2381">
        <v>695643.82654870604</v>
      </c>
      <c r="F2989" s="2382">
        <v>0.33689019077041399</v>
      </c>
      <c r="G2989" s="2383">
        <v>0.10370984591197201</v>
      </c>
    </row>
    <row r="2990" spans="1:7" x14ac:dyDescent="0.3">
      <c r="A2990" s="6" t="s">
        <v>6581</v>
      </c>
      <c r="B2990" s="6"/>
      <c r="C2990" s="2376">
        <v>25</v>
      </c>
      <c r="D2990" s="2376">
        <v>2042150.39323688</v>
      </c>
      <c r="E2990" s="2377">
        <v>886911.87197904103</v>
      </c>
      <c r="F2990" s="2378">
        <v>0.30593414340031799</v>
      </c>
      <c r="G2990" s="2379">
        <v>0.12789608552940601</v>
      </c>
    </row>
    <row r="2991" spans="1:7" x14ac:dyDescent="0.3">
      <c r="A2991" s="11" t="s">
        <v>6582</v>
      </c>
      <c r="B2991" s="11"/>
      <c r="C2991" s="2380">
        <v>6</v>
      </c>
      <c r="D2991" s="2380">
        <v>1243616.3234236899</v>
      </c>
      <c r="E2991" s="2381">
        <v>705300.18255894398</v>
      </c>
      <c r="F2991" s="2382">
        <v>0.18630591355332601</v>
      </c>
      <c r="G2991" s="2383">
        <v>0.105372900654832</v>
      </c>
    </row>
    <row r="2992" spans="1:7" x14ac:dyDescent="0.3">
      <c r="A2992" s="6" t="s">
        <v>6583</v>
      </c>
      <c r="B2992" s="6"/>
      <c r="C2992" s="2376">
        <v>16</v>
      </c>
      <c r="D2992" s="2376">
        <v>837952.384401366</v>
      </c>
      <c r="E2992" s="2377">
        <v>317503.52393286</v>
      </c>
      <c r="F2992" s="2378">
        <v>0.12553347969918599</v>
      </c>
      <c r="G2992" s="2379">
        <v>4.6477019243734402E-2</v>
      </c>
    </row>
    <row r="2993" spans="1:7" x14ac:dyDescent="0.3">
      <c r="A2993" s="11" t="s">
        <v>6584</v>
      </c>
      <c r="B2993" s="11"/>
      <c r="C2993" s="2380">
        <v>3</v>
      </c>
      <c r="D2993" s="2380">
        <v>759415.03762096702</v>
      </c>
      <c r="E2993" s="2381">
        <v>536280.98283523903</v>
      </c>
      <c r="F2993" s="2382">
        <v>0.113767815430889</v>
      </c>
      <c r="G2993" s="2383">
        <v>8.0737401689742597E-2</v>
      </c>
    </row>
    <row r="2994" spans="1:7" x14ac:dyDescent="0.3">
      <c r="A2994" s="6" t="s">
        <v>6585</v>
      </c>
      <c r="B2994" s="6"/>
      <c r="C2994" s="2376">
        <v>13</v>
      </c>
      <c r="D2994" s="2376">
        <v>700312.436143158</v>
      </c>
      <c r="E2994" s="2377">
        <v>266507.158852247</v>
      </c>
      <c r="F2994" s="2378">
        <v>0.104913666482934</v>
      </c>
      <c r="G2994" s="2379">
        <v>3.8158176567997602E-2</v>
      </c>
    </row>
    <row r="2995" spans="1:7" x14ac:dyDescent="0.3">
      <c r="A2995" s="11" t="s">
        <v>6586</v>
      </c>
      <c r="B2995" s="11"/>
      <c r="C2995" s="2380">
        <v>9</v>
      </c>
      <c r="D2995" s="2380">
        <v>639711.97989315202</v>
      </c>
      <c r="E2995" s="2381">
        <v>276590.72671976697</v>
      </c>
      <c r="F2995" s="2382">
        <v>9.5835124210086206E-2</v>
      </c>
      <c r="G2995" s="2383">
        <v>3.9454295597845898E-2</v>
      </c>
    </row>
    <row r="2996" spans="1:7" x14ac:dyDescent="0.3">
      <c r="A2996" s="6" t="s">
        <v>6587</v>
      </c>
      <c r="B2996" s="6"/>
      <c r="C2996" s="2376">
        <v>3</v>
      </c>
      <c r="D2996" s="2376">
        <v>541391.21427456103</v>
      </c>
      <c r="E2996" s="2377">
        <v>443776.44282820402</v>
      </c>
      <c r="F2996" s="2378">
        <v>8.1105709908571605E-2</v>
      </c>
      <c r="G2996" s="2379">
        <v>6.6679749477428898E-2</v>
      </c>
    </row>
    <row r="2997" spans="1:7" x14ac:dyDescent="0.3">
      <c r="A2997" s="11" t="s">
        <v>6588</v>
      </c>
      <c r="B2997" s="11"/>
      <c r="C2997" s="2380">
        <v>1</v>
      </c>
      <c r="D2997" s="2380">
        <v>468491.13987679803</v>
      </c>
      <c r="E2997" s="2381">
        <v>464466.00444748497</v>
      </c>
      <c r="F2997" s="2382">
        <v>7.0184564292381901E-2</v>
      </c>
      <c r="G2997" s="2383">
        <v>6.95702070187081E-2</v>
      </c>
    </row>
    <row r="2998" spans="1:7" x14ac:dyDescent="0.3">
      <c r="A2998" s="6" t="s">
        <v>6589</v>
      </c>
      <c r="B2998" s="6"/>
      <c r="C2998" s="2376">
        <v>9</v>
      </c>
      <c r="D2998" s="2376">
        <v>320522.26327207999</v>
      </c>
      <c r="E2998" s="2377">
        <v>169819.320239541</v>
      </c>
      <c r="F2998" s="2378">
        <v>4.8017376379145299E-2</v>
      </c>
      <c r="G2998" s="2379">
        <v>2.4723950733139301E-2</v>
      </c>
    </row>
    <row r="2999" spans="1:7" x14ac:dyDescent="0.3">
      <c r="A2999" s="11" t="s">
        <v>6590</v>
      </c>
      <c r="B2999" s="11"/>
      <c r="C2999" s="2380">
        <v>3</v>
      </c>
      <c r="D2999" s="2380">
        <v>178223.19694860099</v>
      </c>
      <c r="E2999" s="2381">
        <v>187935.177964451</v>
      </c>
      <c r="F2999" s="2382">
        <v>2.6699581614120602E-2</v>
      </c>
      <c r="G2999" s="2383">
        <v>2.79495932907355E-2</v>
      </c>
    </row>
    <row r="3000" spans="1:7" x14ac:dyDescent="0.3">
      <c r="A3000" s="6" t="s">
        <v>6591</v>
      </c>
      <c r="B3000" s="6"/>
      <c r="C3000" s="2376">
        <v>2</v>
      </c>
      <c r="D3000" s="2376">
        <v>124762.93956996201</v>
      </c>
      <c r="E3000" s="2377">
        <v>101418.998299131</v>
      </c>
      <c r="F3000" s="2378">
        <v>1.8690711111115699E-2</v>
      </c>
      <c r="G3000" s="2379">
        <v>1.5210820197842499E-2</v>
      </c>
    </row>
    <row r="3001" spans="1:7" x14ac:dyDescent="0.3">
      <c r="A3001" s="11" t="s">
        <v>6592</v>
      </c>
      <c r="B3001" s="11"/>
      <c r="C3001" s="2380">
        <v>2</v>
      </c>
      <c r="D3001" s="2380">
        <v>118815.464632401</v>
      </c>
      <c r="E3001" s="2381">
        <v>125290.11864296701</v>
      </c>
      <c r="F3001" s="2382">
        <v>1.77997210760804E-2</v>
      </c>
      <c r="G3001" s="2383">
        <v>1.8633062193823699E-2</v>
      </c>
    </row>
    <row r="3002" spans="1:7" x14ac:dyDescent="0.3">
      <c r="A3002" s="6" t="s">
        <v>6593</v>
      </c>
      <c r="B3002" s="6"/>
      <c r="C3002" s="2376">
        <v>1</v>
      </c>
      <c r="D3002" s="2376">
        <v>59407.732316200498</v>
      </c>
      <c r="E3002" s="2377">
        <v>62645.059321483699</v>
      </c>
      <c r="F3002" s="2378">
        <v>8.8998605380402E-3</v>
      </c>
      <c r="G3002" s="2379">
        <v>9.3165310969118304E-3</v>
      </c>
    </row>
    <row r="3003" spans="1:7" x14ac:dyDescent="0.3">
      <c r="A3003" s="11" t="s">
        <v>6594</v>
      </c>
      <c r="B3003" s="11"/>
      <c r="C3003" s="2380">
        <v>1</v>
      </c>
      <c r="D3003" s="2380">
        <v>59407.732316200498</v>
      </c>
      <c r="E3003" s="2381">
        <v>62645.059321483699</v>
      </c>
      <c r="F3003" s="2382">
        <v>8.8998605380402E-3</v>
      </c>
      <c r="G3003" s="2383">
        <v>9.3165310969118304E-3</v>
      </c>
    </row>
    <row r="3004" spans="1:7" x14ac:dyDescent="0.3">
      <c r="A3004" s="6" t="s">
        <v>6595</v>
      </c>
      <c r="B3004" s="6"/>
      <c r="C3004" s="2376">
        <v>1</v>
      </c>
      <c r="D3004" s="2376">
        <v>59407.732316200498</v>
      </c>
      <c r="E3004" s="2377">
        <v>62645.059321483699</v>
      </c>
      <c r="F3004" s="2378">
        <v>8.8998605380402E-3</v>
      </c>
      <c r="G3004" s="2379">
        <v>9.3165310969118304E-3</v>
      </c>
    </row>
    <row r="3005" spans="1:7" x14ac:dyDescent="0.3">
      <c r="A3005" s="11" t="s">
        <v>6596</v>
      </c>
      <c r="B3005" s="11"/>
      <c r="C3005" s="2380">
        <v>1</v>
      </c>
      <c r="D3005" s="2380">
        <v>40943.817578424598</v>
      </c>
      <c r="E3005" s="2381">
        <v>41975.556935937697</v>
      </c>
      <c r="F3005" s="2382">
        <v>6.1337851511219397E-3</v>
      </c>
      <c r="G3005" s="2383">
        <v>6.2877025510165397E-3</v>
      </c>
    </row>
    <row r="3006" spans="1:7" x14ac:dyDescent="0.3">
      <c r="A3006" s="6" t="s">
        <v>6597</v>
      </c>
      <c r="B3006" s="6"/>
      <c r="C3006" s="2376">
        <v>1</v>
      </c>
      <c r="D3006" s="2376">
        <v>40129.410435084799</v>
      </c>
      <c r="E3006" s="2377">
        <v>42940.622755032397</v>
      </c>
      <c r="F3006" s="2378">
        <v>6.0117789792935097E-3</v>
      </c>
      <c r="G3006" s="2379">
        <v>6.3950785616213399E-3</v>
      </c>
    </row>
    <row r="3007" spans="1:7" x14ac:dyDescent="0.3">
      <c r="A3007" s="11" t="s">
        <v>6354</v>
      </c>
      <c r="B3007" s="11" t="s">
        <v>6355</v>
      </c>
      <c r="C3007" s="2380">
        <v>7515</v>
      </c>
      <c r="D3007" s="2380">
        <v>667513070.14618003</v>
      </c>
      <c r="E3007" s="2381">
        <v>23529830.745544199</v>
      </c>
      <c r="F3007" s="2382">
        <v>100</v>
      </c>
      <c r="G3007" s="2383">
        <v>1.45362315675074E-14</v>
      </c>
    </row>
    <row r="3008" spans="1:7" x14ac:dyDescent="0.3">
      <c r="A3008" s="6" t="s">
        <v>6354</v>
      </c>
      <c r="B3008" s="6" t="s">
        <v>6356</v>
      </c>
      <c r="C3008" s="2376">
        <v>7515</v>
      </c>
      <c r="D3008" s="2376">
        <v>667513070.14618003</v>
      </c>
      <c r="E3008" s="2377">
        <v>0</v>
      </c>
      <c r="F3008" s="2378">
        <v>100</v>
      </c>
      <c r="G3008" s="2379">
        <v>0</v>
      </c>
    </row>
    <row r="3009" spans="1:7" x14ac:dyDescent="0.3">
      <c r="A3009" s="3449" t="s">
        <v>669</v>
      </c>
      <c r="B3009" s="3450"/>
      <c r="C3009" s="3450"/>
      <c r="D3009" s="3450"/>
      <c r="E3009" s="3450"/>
      <c r="F3009" s="3450"/>
      <c r="G3009" s="3450"/>
    </row>
    <row r="3010" spans="1:7" x14ac:dyDescent="0.3">
      <c r="A3010" s="11" t="s">
        <v>6354</v>
      </c>
      <c r="B3010" s="11" t="s">
        <v>6355</v>
      </c>
      <c r="C3010" s="2388">
        <v>7445</v>
      </c>
      <c r="D3010" s="2388">
        <v>667513070.14618003</v>
      </c>
      <c r="E3010" s="2389">
        <v>23529830.745544098</v>
      </c>
      <c r="F3010" s="2390">
        <v>100</v>
      </c>
      <c r="G3010" s="2391">
        <v>1.00184062299098E-13</v>
      </c>
    </row>
    <row r="3011" spans="1:7" x14ac:dyDescent="0.3">
      <c r="A3011" s="6" t="s">
        <v>6354</v>
      </c>
      <c r="B3011" s="6" t="s">
        <v>6356</v>
      </c>
      <c r="C3011" s="2384">
        <v>7445</v>
      </c>
      <c r="D3011" s="2384">
        <v>667513070.14618003</v>
      </c>
      <c r="E3011" s="2385">
        <v>0</v>
      </c>
      <c r="F3011" s="2386">
        <v>100</v>
      </c>
      <c r="G3011" s="2387">
        <v>0</v>
      </c>
    </row>
    <row r="3012" spans="1:7" x14ac:dyDescent="0.3">
      <c r="A3012" s="3449" t="s">
        <v>180</v>
      </c>
      <c r="B3012" s="3450"/>
      <c r="C3012" s="3450"/>
      <c r="D3012" s="3450"/>
      <c r="E3012" s="3450"/>
      <c r="F3012" s="3450"/>
      <c r="G3012" s="3450"/>
    </row>
    <row r="3013" spans="1:7" x14ac:dyDescent="0.3">
      <c r="A3013" s="11" t="s">
        <v>6354</v>
      </c>
      <c r="B3013" s="11" t="s">
        <v>6355</v>
      </c>
      <c r="C3013" s="2396">
        <v>7449</v>
      </c>
      <c r="D3013" s="2396">
        <v>667513070.14618003</v>
      </c>
      <c r="E3013" s="2397">
        <v>23529830.745544098</v>
      </c>
      <c r="F3013" s="2398">
        <v>100</v>
      </c>
      <c r="G3013" s="2399">
        <v>9.96553828182772E-14</v>
      </c>
    </row>
    <row r="3014" spans="1:7" x14ac:dyDescent="0.3">
      <c r="A3014" s="6" t="s">
        <v>6354</v>
      </c>
      <c r="B3014" s="6" t="s">
        <v>6356</v>
      </c>
      <c r="C3014" s="2392">
        <v>7449</v>
      </c>
      <c r="D3014" s="2392">
        <v>667513070.14618003</v>
      </c>
      <c r="E3014" s="2393">
        <v>0</v>
      </c>
      <c r="F3014" s="2394">
        <v>100</v>
      </c>
      <c r="G3014" s="2395">
        <v>0</v>
      </c>
    </row>
    <row r="3015" spans="1:7" x14ac:dyDescent="0.3">
      <c r="A3015" s="3449" t="s">
        <v>671</v>
      </c>
      <c r="B3015" s="3450"/>
      <c r="C3015" s="3450"/>
      <c r="D3015" s="3450"/>
      <c r="E3015" s="3450"/>
      <c r="F3015" s="3450"/>
      <c r="G3015" s="3450"/>
    </row>
    <row r="3016" spans="1:7" x14ac:dyDescent="0.3">
      <c r="A3016" s="11" t="s">
        <v>6354</v>
      </c>
      <c r="B3016" s="11" t="s">
        <v>6355</v>
      </c>
      <c r="C3016" s="2404">
        <v>6261</v>
      </c>
      <c r="D3016" s="2404">
        <v>667513070.14618003</v>
      </c>
      <c r="E3016" s="2405">
        <v>23529830.745544098</v>
      </c>
      <c r="F3016" s="2406">
        <v>100</v>
      </c>
      <c r="G3016" s="2407">
        <v>1.00709966502038E-13</v>
      </c>
    </row>
    <row r="3017" spans="1:7" x14ac:dyDescent="0.3">
      <c r="A3017" s="6" t="s">
        <v>6354</v>
      </c>
      <c r="B3017" s="6" t="s">
        <v>6356</v>
      </c>
      <c r="C3017" s="2400">
        <v>6261</v>
      </c>
      <c r="D3017" s="2400">
        <v>667513070.14618003</v>
      </c>
      <c r="E3017" s="2401">
        <v>0</v>
      </c>
      <c r="F3017" s="2402">
        <v>100</v>
      </c>
      <c r="G3017" s="2403">
        <v>0</v>
      </c>
    </row>
    <row r="3018" spans="1:7" x14ac:dyDescent="0.3">
      <c r="A3018" s="3449" t="s">
        <v>182</v>
      </c>
      <c r="B3018" s="3450"/>
      <c r="C3018" s="3450"/>
      <c r="D3018" s="3450"/>
      <c r="E3018" s="3450"/>
      <c r="F3018" s="3450"/>
      <c r="G3018" s="3450"/>
    </row>
    <row r="3019" spans="1:7" x14ac:dyDescent="0.3">
      <c r="A3019" s="11" t="s">
        <v>6354</v>
      </c>
      <c r="B3019" s="11" t="s">
        <v>6355</v>
      </c>
      <c r="C3019" s="2412">
        <v>6261</v>
      </c>
      <c r="D3019" s="2412">
        <v>667513070.14618003</v>
      </c>
      <c r="E3019" s="2413">
        <v>23529830.745544098</v>
      </c>
      <c r="F3019" s="2414">
        <v>100</v>
      </c>
      <c r="G3019" s="2415">
        <v>1.00709966502038E-13</v>
      </c>
    </row>
    <row r="3020" spans="1:7" x14ac:dyDescent="0.3">
      <c r="A3020" s="6" t="s">
        <v>6354</v>
      </c>
      <c r="B3020" s="6" t="s">
        <v>6356</v>
      </c>
      <c r="C3020" s="2408">
        <v>6261</v>
      </c>
      <c r="D3020" s="2408">
        <v>667513070.14618003</v>
      </c>
      <c r="E3020" s="2409">
        <v>0</v>
      </c>
      <c r="F3020" s="2410">
        <v>100</v>
      </c>
      <c r="G3020" s="2411">
        <v>0</v>
      </c>
    </row>
    <row r="3021" spans="1:7" x14ac:dyDescent="0.3">
      <c r="A3021" s="3449" t="s">
        <v>665</v>
      </c>
      <c r="B3021" s="3450"/>
      <c r="C3021" s="3450"/>
      <c r="D3021" s="3450"/>
      <c r="E3021" s="3450"/>
      <c r="F3021" s="3450"/>
      <c r="G3021" s="3450"/>
    </row>
    <row r="3022" spans="1:7" x14ac:dyDescent="0.3">
      <c r="A3022" s="11" t="s">
        <v>1040</v>
      </c>
      <c r="B3022" s="11"/>
      <c r="C3022" s="2420">
        <v>888</v>
      </c>
      <c r="D3022" s="2420">
        <v>94482419.056885794</v>
      </c>
      <c r="E3022" s="2421">
        <v>3675395.4498801702</v>
      </c>
      <c r="F3022" s="2422">
        <v>14.1543923681067</v>
      </c>
      <c r="G3022" s="2423">
        <v>0.64811991524902901</v>
      </c>
    </row>
    <row r="3023" spans="1:7" x14ac:dyDescent="0.3">
      <c r="A3023" s="6" t="s">
        <v>1042</v>
      </c>
      <c r="B3023" s="6"/>
      <c r="C3023" s="2416">
        <v>733</v>
      </c>
      <c r="D3023" s="2416">
        <v>77169447.659562394</v>
      </c>
      <c r="E3023" s="2417">
        <v>8079071.9235362196</v>
      </c>
      <c r="F3023" s="2418">
        <v>11.560739573633001</v>
      </c>
      <c r="G3023" s="2419">
        <v>0.97554100201310501</v>
      </c>
    </row>
    <row r="3024" spans="1:7" x14ac:dyDescent="0.3">
      <c r="A3024" s="11" t="s">
        <v>1027</v>
      </c>
      <c r="B3024" s="11"/>
      <c r="C3024" s="2420">
        <v>665</v>
      </c>
      <c r="D3024" s="2420">
        <v>67388771.686152905</v>
      </c>
      <c r="E3024" s="2421">
        <v>6084919.69685358</v>
      </c>
      <c r="F3024" s="2422">
        <v>10.0954984553928</v>
      </c>
      <c r="G3024" s="2423">
        <v>0.59676851328518898</v>
      </c>
    </row>
    <row r="3025" spans="1:7" x14ac:dyDescent="0.3">
      <c r="A3025" s="6" t="s">
        <v>1031</v>
      </c>
      <c r="B3025" s="6"/>
      <c r="C3025" s="2416">
        <v>671</v>
      </c>
      <c r="D3025" s="2416">
        <v>66474387.922054201</v>
      </c>
      <c r="E3025" s="2417">
        <v>5062263.9669173798</v>
      </c>
      <c r="F3025" s="2418">
        <v>9.95851480593433</v>
      </c>
      <c r="G3025" s="2419">
        <v>0.69568213343406404</v>
      </c>
    </row>
    <row r="3026" spans="1:7" x14ac:dyDescent="0.3">
      <c r="A3026" s="11" t="s">
        <v>1029</v>
      </c>
      <c r="B3026" s="11"/>
      <c r="C3026" s="2420">
        <v>702</v>
      </c>
      <c r="D3026" s="2420">
        <v>65820434.135679901</v>
      </c>
      <c r="E3026" s="2421">
        <v>2776072.9709725599</v>
      </c>
      <c r="F3026" s="2422">
        <v>9.86054611953376</v>
      </c>
      <c r="G3026" s="2423">
        <v>0.16106695803712201</v>
      </c>
    </row>
    <row r="3027" spans="1:7" x14ac:dyDescent="0.3">
      <c r="A3027" s="6" t="s">
        <v>1025</v>
      </c>
      <c r="B3027" s="6"/>
      <c r="C3027" s="2416">
        <v>609</v>
      </c>
      <c r="D3027" s="2416">
        <v>56192644.120793998</v>
      </c>
      <c r="E3027" s="2417">
        <v>3142184.2871167501</v>
      </c>
      <c r="F3027" s="2418">
        <v>8.4182088162690505</v>
      </c>
      <c r="G3027" s="2419">
        <v>0.52149769344515695</v>
      </c>
    </row>
    <row r="3028" spans="1:7" x14ac:dyDescent="0.3">
      <c r="A3028" s="11" t="s">
        <v>1023</v>
      </c>
      <c r="B3028" s="11"/>
      <c r="C3028" s="2420">
        <v>519</v>
      </c>
      <c r="D3028" s="2420">
        <v>49216891.139682598</v>
      </c>
      <c r="E3028" s="2421">
        <v>4581035.4567802697</v>
      </c>
      <c r="F3028" s="2422">
        <v>7.3731726524702301</v>
      </c>
      <c r="G3028" s="2423">
        <v>0.64636034388010699</v>
      </c>
    </row>
    <row r="3029" spans="1:7" x14ac:dyDescent="0.3">
      <c r="A3029" s="6" t="s">
        <v>1067</v>
      </c>
      <c r="B3029" s="6"/>
      <c r="C3029" s="2416">
        <v>602</v>
      </c>
      <c r="D3029" s="2416">
        <v>40151474.980062798</v>
      </c>
      <c r="E3029" s="2417">
        <v>2544064.5825647502</v>
      </c>
      <c r="F3029" s="2418">
        <v>6.01508446437908</v>
      </c>
      <c r="G3029" s="2419">
        <v>0.46435106731137998</v>
      </c>
    </row>
    <row r="3030" spans="1:7" x14ac:dyDescent="0.3">
      <c r="A3030" s="11" t="s">
        <v>1065</v>
      </c>
      <c r="B3030" s="11"/>
      <c r="C3030" s="2420">
        <v>569</v>
      </c>
      <c r="D3030" s="2420">
        <v>39589863.723953098</v>
      </c>
      <c r="E3030" s="2421">
        <v>4240123.6085147504</v>
      </c>
      <c r="F3030" s="2422">
        <v>5.9309495940331498</v>
      </c>
      <c r="G3030" s="2423">
        <v>0.52559637071814602</v>
      </c>
    </row>
    <row r="3031" spans="1:7" x14ac:dyDescent="0.3">
      <c r="A3031" s="6" t="s">
        <v>1063</v>
      </c>
      <c r="B3031" s="6"/>
      <c r="C3031" s="2416">
        <v>544</v>
      </c>
      <c r="D3031" s="2416">
        <v>38742213.348044403</v>
      </c>
      <c r="E3031" s="2417">
        <v>4071359.3545879801</v>
      </c>
      <c r="F3031" s="2418">
        <v>5.8039632601591098</v>
      </c>
      <c r="G3031" s="2419">
        <v>0.66038665790684303</v>
      </c>
    </row>
    <row r="3032" spans="1:7" x14ac:dyDescent="0.3">
      <c r="A3032" s="11" t="s">
        <v>1061</v>
      </c>
      <c r="B3032" s="11"/>
      <c r="C3032" s="2420">
        <v>515</v>
      </c>
      <c r="D3032" s="2420">
        <v>38039991.041731603</v>
      </c>
      <c r="E3032" s="2421">
        <v>1749152.2284886499</v>
      </c>
      <c r="F3032" s="2422">
        <v>5.6987634764067003</v>
      </c>
      <c r="G3032" s="2423">
        <v>0.30239702865104601</v>
      </c>
    </row>
    <row r="3033" spans="1:7" x14ac:dyDescent="0.3">
      <c r="A3033" s="6" t="s">
        <v>1021</v>
      </c>
      <c r="B3033" s="6"/>
      <c r="C3033" s="2416">
        <v>498</v>
      </c>
      <c r="D3033" s="2416">
        <v>34244531.331577003</v>
      </c>
      <c r="E3033" s="2417">
        <v>3286082.8428666298</v>
      </c>
      <c r="F3033" s="2418">
        <v>5.1301664136820104</v>
      </c>
      <c r="G3033" s="2419">
        <v>0.372576858231849</v>
      </c>
    </row>
    <row r="3034" spans="1:7" x14ac:dyDescent="0.3">
      <c r="A3034" s="11" t="s">
        <v>6354</v>
      </c>
      <c r="B3034" s="11" t="s">
        <v>6355</v>
      </c>
      <c r="C3034" s="2420">
        <v>7515</v>
      </c>
      <c r="D3034" s="2420">
        <v>667513070.14618099</v>
      </c>
      <c r="E3034" s="2421">
        <v>23529830.745544199</v>
      </c>
      <c r="F3034" s="2422">
        <v>100</v>
      </c>
      <c r="G3034" s="2423">
        <v>1.02786679142825E-14</v>
      </c>
    </row>
    <row r="3035" spans="1:7" x14ac:dyDescent="0.3">
      <c r="A3035" s="6" t="s">
        <v>6354</v>
      </c>
      <c r="B3035" s="6" t="s">
        <v>6356</v>
      </c>
      <c r="C3035" s="2416">
        <v>7515</v>
      </c>
      <c r="D3035" s="2416">
        <v>667513070.14618099</v>
      </c>
      <c r="E3035" s="2417">
        <v>0</v>
      </c>
      <c r="F3035" s="2418">
        <v>100</v>
      </c>
      <c r="G3035" s="2419">
        <v>0</v>
      </c>
    </row>
    <row r="3036" spans="1:7" x14ac:dyDescent="0.3">
      <c r="A3036" s="3449" t="s">
        <v>667</v>
      </c>
      <c r="B3036" s="3450"/>
      <c r="C3036" s="3450"/>
      <c r="D3036" s="3450"/>
      <c r="E3036" s="3450"/>
      <c r="F3036" s="3450"/>
      <c r="G3036" s="3450"/>
    </row>
    <row r="3037" spans="1:7" x14ac:dyDescent="0.3">
      <c r="A3037" s="11" t="s">
        <v>1219</v>
      </c>
      <c r="B3037" s="11"/>
      <c r="C3037" s="2428">
        <v>1443</v>
      </c>
      <c r="D3037" s="2428">
        <v>131387117.547171</v>
      </c>
      <c r="E3037" s="2429">
        <v>7627355.6894357102</v>
      </c>
      <c r="F3037" s="2430">
        <v>19.683077893650601</v>
      </c>
      <c r="G3037" s="2431">
        <v>0.78728806893844805</v>
      </c>
    </row>
    <row r="3038" spans="1:7" x14ac:dyDescent="0.3">
      <c r="A3038" s="6" t="s">
        <v>1224</v>
      </c>
      <c r="B3038" s="6"/>
      <c r="C3038" s="2424">
        <v>1339</v>
      </c>
      <c r="D3038" s="2424">
        <v>117462875.479542</v>
      </c>
      <c r="E3038" s="2425">
        <v>4735673.8605239196</v>
      </c>
      <c r="F3038" s="2426">
        <v>17.5970899646681</v>
      </c>
      <c r="G3038" s="2427">
        <v>0.78625079564934297</v>
      </c>
    </row>
    <row r="3039" spans="1:7" x14ac:dyDescent="0.3">
      <c r="A3039" s="11" t="s">
        <v>3128</v>
      </c>
      <c r="B3039" s="11"/>
      <c r="C3039" s="2428">
        <v>640</v>
      </c>
      <c r="D3039" s="2428">
        <v>62161755.719646797</v>
      </c>
      <c r="E3039" s="2429">
        <v>8045144.7728932695</v>
      </c>
      <c r="F3039" s="2430">
        <v>9.3124402352202296</v>
      </c>
      <c r="G3039" s="2431">
        <v>1.20393472532094</v>
      </c>
    </row>
    <row r="3040" spans="1:7" x14ac:dyDescent="0.3">
      <c r="A3040" s="6" t="s">
        <v>1073</v>
      </c>
      <c r="B3040" s="6"/>
      <c r="C3040" s="2424">
        <v>627</v>
      </c>
      <c r="D3040" s="2424">
        <v>48909861.527785197</v>
      </c>
      <c r="E3040" s="2425">
        <v>5132162.1149293901</v>
      </c>
      <c r="F3040" s="2426">
        <v>7.3271766075043798</v>
      </c>
      <c r="G3040" s="2427">
        <v>0.70051716378351303</v>
      </c>
    </row>
    <row r="3041" spans="1:7" x14ac:dyDescent="0.3">
      <c r="A3041" s="11" t="s">
        <v>1226</v>
      </c>
      <c r="B3041" s="11"/>
      <c r="C3041" s="2428">
        <v>341</v>
      </c>
      <c r="D3041" s="2428">
        <v>32891384.617339399</v>
      </c>
      <c r="E3041" s="2429">
        <v>4472653.3135938896</v>
      </c>
      <c r="F3041" s="2430">
        <v>4.9274517741107902</v>
      </c>
      <c r="G3041" s="2431">
        <v>0.57054945394592305</v>
      </c>
    </row>
    <row r="3042" spans="1:7" x14ac:dyDescent="0.3">
      <c r="A3042" s="6" t="s">
        <v>1063</v>
      </c>
      <c r="B3042" s="6"/>
      <c r="C3042" s="2424">
        <v>307</v>
      </c>
      <c r="D3042" s="2424">
        <v>32013859.3998284</v>
      </c>
      <c r="E3042" s="2425">
        <v>4661433.0605315603</v>
      </c>
      <c r="F3042" s="2426">
        <v>4.7959898961705196</v>
      </c>
      <c r="G3042" s="2427">
        <v>0.630659841044098</v>
      </c>
    </row>
    <row r="3043" spans="1:7" x14ac:dyDescent="0.3">
      <c r="A3043" s="11" t="s">
        <v>1222</v>
      </c>
      <c r="B3043" s="11"/>
      <c r="C3043" s="2428">
        <v>308</v>
      </c>
      <c r="D3043" s="2428">
        <v>29577823.926376399</v>
      </c>
      <c r="E3043" s="2429">
        <v>2786782.0149869001</v>
      </c>
      <c r="F3043" s="2430">
        <v>4.4310479074063798</v>
      </c>
      <c r="G3043" s="2431">
        <v>0.38813893688650403</v>
      </c>
    </row>
    <row r="3044" spans="1:7" x14ac:dyDescent="0.3">
      <c r="A3044" s="6" t="s">
        <v>1228</v>
      </c>
      <c r="B3044" s="6"/>
      <c r="C3044" s="2424">
        <v>275</v>
      </c>
      <c r="D3044" s="2424">
        <v>24163181.556941502</v>
      </c>
      <c r="E3044" s="2425">
        <v>2836503.1647487399</v>
      </c>
      <c r="F3044" s="2426">
        <v>3.6198814132058699</v>
      </c>
      <c r="G3044" s="2427">
        <v>0.39869757218988799</v>
      </c>
    </row>
    <row r="3045" spans="1:7" x14ac:dyDescent="0.3">
      <c r="A3045" s="11" t="s">
        <v>1029</v>
      </c>
      <c r="B3045" s="11"/>
      <c r="C3045" s="2428">
        <v>215</v>
      </c>
      <c r="D3045" s="2428">
        <v>20915112.593039401</v>
      </c>
      <c r="E3045" s="2429">
        <v>2491979.67862012</v>
      </c>
      <c r="F3045" s="2430">
        <v>3.1332888490796398</v>
      </c>
      <c r="G3045" s="2431">
        <v>0.37409576036951803</v>
      </c>
    </row>
    <row r="3046" spans="1:7" x14ac:dyDescent="0.3">
      <c r="A3046" s="6" t="s">
        <v>3114</v>
      </c>
      <c r="B3046" s="6"/>
      <c r="C3046" s="2424">
        <v>221</v>
      </c>
      <c r="D3046" s="2424">
        <v>18870093.626860801</v>
      </c>
      <c r="E3046" s="2425">
        <v>1975330.60144767</v>
      </c>
      <c r="F3046" s="2426">
        <v>2.8269249653386401</v>
      </c>
      <c r="G3046" s="2427">
        <v>0.306939965193052</v>
      </c>
    </row>
    <row r="3047" spans="1:7" x14ac:dyDescent="0.3">
      <c r="A3047" s="11" t="s">
        <v>3099</v>
      </c>
      <c r="B3047" s="11"/>
      <c r="C3047" s="2428">
        <v>187</v>
      </c>
      <c r="D3047" s="2428">
        <v>16341206.131703001</v>
      </c>
      <c r="E3047" s="2429">
        <v>3603715.0776607199</v>
      </c>
      <c r="F3047" s="2430">
        <v>2.44807283370861</v>
      </c>
      <c r="G3047" s="2431">
        <v>0.55930395502324404</v>
      </c>
    </row>
    <row r="3048" spans="1:7" x14ac:dyDescent="0.3">
      <c r="A3048" s="6" t="s">
        <v>3142</v>
      </c>
      <c r="B3048" s="6"/>
      <c r="C3048" s="2424">
        <v>174</v>
      </c>
      <c r="D3048" s="2424">
        <v>15391522.5072616</v>
      </c>
      <c r="E3048" s="2425">
        <v>3252028.0473690201</v>
      </c>
      <c r="F3048" s="2426">
        <v>2.3058009192076101</v>
      </c>
      <c r="G3048" s="2427">
        <v>0.47030714733960899</v>
      </c>
    </row>
    <row r="3049" spans="1:7" x14ac:dyDescent="0.3">
      <c r="A3049" s="11" t="s">
        <v>3134</v>
      </c>
      <c r="B3049" s="11"/>
      <c r="C3049" s="2428">
        <v>46</v>
      </c>
      <c r="D3049" s="2428">
        <v>5520126.1773222303</v>
      </c>
      <c r="E3049" s="2429">
        <v>1355649.9883810901</v>
      </c>
      <c r="F3049" s="2430">
        <v>0.82696900243666605</v>
      </c>
      <c r="G3049" s="2431">
        <v>0.20647695474960501</v>
      </c>
    </row>
    <row r="3050" spans="1:7" x14ac:dyDescent="0.3">
      <c r="A3050" s="6" t="s">
        <v>3120</v>
      </c>
      <c r="B3050" s="6"/>
      <c r="C3050" s="2424">
        <v>53</v>
      </c>
      <c r="D3050" s="2424">
        <v>5121642.30687181</v>
      </c>
      <c r="E3050" s="2425">
        <v>1258884.4661229199</v>
      </c>
      <c r="F3050" s="2426">
        <v>0.76727221322426098</v>
      </c>
      <c r="G3050" s="2427">
        <v>0.18209222634969299</v>
      </c>
    </row>
    <row r="3051" spans="1:7" x14ac:dyDescent="0.3">
      <c r="A3051" s="11" t="s">
        <v>1132</v>
      </c>
      <c r="B3051" s="11"/>
      <c r="C3051" s="2428">
        <v>48</v>
      </c>
      <c r="D3051" s="2428">
        <v>4599994.0938778399</v>
      </c>
      <c r="E3051" s="2429">
        <v>917257.58457863797</v>
      </c>
      <c r="F3051" s="2430">
        <v>0.68912419840265904</v>
      </c>
      <c r="G3051" s="2431">
        <v>0.14241804745765599</v>
      </c>
    </row>
    <row r="3052" spans="1:7" x14ac:dyDescent="0.3">
      <c r="A3052" s="6" t="s">
        <v>1065</v>
      </c>
      <c r="B3052" s="6"/>
      <c r="C3052" s="2424">
        <v>41</v>
      </c>
      <c r="D3052" s="2424">
        <v>4494585.0625742199</v>
      </c>
      <c r="E3052" s="2425">
        <v>1075871.4566713199</v>
      </c>
      <c r="F3052" s="2426">
        <v>0.673332892431596</v>
      </c>
      <c r="G3052" s="2427">
        <v>0.150989559321827</v>
      </c>
    </row>
    <row r="3053" spans="1:7" x14ac:dyDescent="0.3">
      <c r="A3053" s="11" t="s">
        <v>1023</v>
      </c>
      <c r="B3053" s="11"/>
      <c r="C3053" s="2428">
        <v>40</v>
      </c>
      <c r="D3053" s="2428">
        <v>4300531.1813652003</v>
      </c>
      <c r="E3053" s="2429">
        <v>1321025.1270274499</v>
      </c>
      <c r="F3053" s="2430">
        <v>0.64426171916355301</v>
      </c>
      <c r="G3053" s="2431">
        <v>0.20409262233882</v>
      </c>
    </row>
    <row r="3054" spans="1:7" x14ac:dyDescent="0.3">
      <c r="A3054" s="6" t="s">
        <v>1075</v>
      </c>
      <c r="B3054" s="6"/>
      <c r="C3054" s="2424">
        <v>43</v>
      </c>
      <c r="D3054" s="2424">
        <v>4283368.1126242997</v>
      </c>
      <c r="E3054" s="2425">
        <v>1101759.0831290099</v>
      </c>
      <c r="F3054" s="2426">
        <v>0.64169052325616205</v>
      </c>
      <c r="G3054" s="2427">
        <v>0.16520347896443499</v>
      </c>
    </row>
    <row r="3055" spans="1:7" x14ac:dyDescent="0.3">
      <c r="A3055" s="11" t="s">
        <v>1124</v>
      </c>
      <c r="B3055" s="11"/>
      <c r="C3055" s="2428">
        <v>41</v>
      </c>
      <c r="D3055" s="2428">
        <v>3531196.1481098002</v>
      </c>
      <c r="E3055" s="2429">
        <v>690403.17499463703</v>
      </c>
      <c r="F3055" s="2430">
        <v>0.52900779116377294</v>
      </c>
      <c r="G3055" s="2431">
        <v>0.10753205779656499</v>
      </c>
    </row>
    <row r="3056" spans="1:7" x14ac:dyDescent="0.3">
      <c r="A3056" s="6" t="s">
        <v>1040</v>
      </c>
      <c r="B3056" s="6"/>
      <c r="C3056" s="2424">
        <v>39</v>
      </c>
      <c r="D3056" s="2424">
        <v>3530316.2258804902</v>
      </c>
      <c r="E3056" s="2425">
        <v>694408.93527836597</v>
      </c>
      <c r="F3056" s="2426">
        <v>0.52887597018997301</v>
      </c>
      <c r="G3056" s="2427">
        <v>0.105666207712707</v>
      </c>
    </row>
    <row r="3057" spans="1:7" x14ac:dyDescent="0.3">
      <c r="A3057" s="11" t="s">
        <v>1126</v>
      </c>
      <c r="B3057" s="11"/>
      <c r="C3057" s="2428">
        <v>31</v>
      </c>
      <c r="D3057" s="2428">
        <v>3477452.14896528</v>
      </c>
      <c r="E3057" s="2429">
        <v>771536.41216511105</v>
      </c>
      <c r="F3057" s="2430">
        <v>0.52095641336337395</v>
      </c>
      <c r="G3057" s="2431">
        <v>0.10003272661771601</v>
      </c>
    </row>
    <row r="3058" spans="1:7" x14ac:dyDescent="0.3">
      <c r="A3058" s="6" t="s">
        <v>1021</v>
      </c>
      <c r="B3058" s="6"/>
      <c r="C3058" s="2424">
        <v>38</v>
      </c>
      <c r="D3058" s="2424">
        <v>3461190.9298057701</v>
      </c>
      <c r="E3058" s="2425">
        <v>1083774.8355101801</v>
      </c>
      <c r="F3058" s="2426">
        <v>0.51852032336202802</v>
      </c>
      <c r="G3058" s="2427">
        <v>0.16018086984561</v>
      </c>
    </row>
    <row r="3059" spans="1:7" x14ac:dyDescent="0.3">
      <c r="A3059" s="11" t="s">
        <v>1116</v>
      </c>
      <c r="B3059" s="11"/>
      <c r="C3059" s="2428">
        <v>45</v>
      </c>
      <c r="D3059" s="2428">
        <v>3177076.3416328598</v>
      </c>
      <c r="E3059" s="2429">
        <v>590660.37912008795</v>
      </c>
      <c r="F3059" s="2430">
        <v>0.475957173533262</v>
      </c>
      <c r="G3059" s="2431">
        <v>8.0609675766254496E-2</v>
      </c>
    </row>
    <row r="3060" spans="1:7" x14ac:dyDescent="0.3">
      <c r="A3060" s="6" t="s">
        <v>1140</v>
      </c>
      <c r="B3060" s="6"/>
      <c r="C3060" s="2424">
        <v>37</v>
      </c>
      <c r="D3060" s="2424">
        <v>3088067.92036962</v>
      </c>
      <c r="E3060" s="2425">
        <v>967361.96676573297</v>
      </c>
      <c r="F3060" s="2426">
        <v>0.462622839683626</v>
      </c>
      <c r="G3060" s="2427">
        <v>0.146855678912552</v>
      </c>
    </row>
    <row r="3061" spans="1:7" x14ac:dyDescent="0.3">
      <c r="A3061" s="11" t="s">
        <v>1138</v>
      </c>
      <c r="B3061" s="11"/>
      <c r="C3061" s="2428">
        <v>21</v>
      </c>
      <c r="D3061" s="2428">
        <v>3085471.77516243</v>
      </c>
      <c r="E3061" s="2429">
        <v>1300667.2141126699</v>
      </c>
      <c r="F3061" s="2430">
        <v>0.462233911687562</v>
      </c>
      <c r="G3061" s="2431">
        <v>0.187908118659288</v>
      </c>
    </row>
    <row r="3062" spans="1:7" x14ac:dyDescent="0.3">
      <c r="A3062" s="6" t="s">
        <v>1042</v>
      </c>
      <c r="B3062" s="6"/>
      <c r="C3062" s="2424">
        <v>38</v>
      </c>
      <c r="D3062" s="2424">
        <v>2961797.3415301102</v>
      </c>
      <c r="E3062" s="2425">
        <v>1087688.2807080101</v>
      </c>
      <c r="F3062" s="2426">
        <v>0.44370626943401997</v>
      </c>
      <c r="G3062" s="2427">
        <v>0.15680447453246901</v>
      </c>
    </row>
    <row r="3063" spans="1:7" x14ac:dyDescent="0.3">
      <c r="A3063" s="11" t="s">
        <v>1077</v>
      </c>
      <c r="B3063" s="11"/>
      <c r="C3063" s="2428">
        <v>41</v>
      </c>
      <c r="D3063" s="2428">
        <v>2958598.70864233</v>
      </c>
      <c r="E3063" s="2429">
        <v>983547.41293812403</v>
      </c>
      <c r="F3063" s="2430">
        <v>0.44322708287860502</v>
      </c>
      <c r="G3063" s="2431">
        <v>0.139676158961968</v>
      </c>
    </row>
    <row r="3064" spans="1:7" x14ac:dyDescent="0.3">
      <c r="A3064" s="6" t="s">
        <v>3105</v>
      </c>
      <c r="B3064" s="6"/>
      <c r="C3064" s="2424">
        <v>36</v>
      </c>
      <c r="D3064" s="2424">
        <v>2791158.6746459501</v>
      </c>
      <c r="E3064" s="2425">
        <v>849091.29091069999</v>
      </c>
      <c r="F3064" s="2426">
        <v>0.41814292475721898</v>
      </c>
      <c r="G3064" s="2427">
        <v>0.121541736560485</v>
      </c>
    </row>
    <row r="3065" spans="1:7" x14ac:dyDescent="0.3">
      <c r="A3065" s="11" t="s">
        <v>3250</v>
      </c>
      <c r="B3065" s="11"/>
      <c r="C3065" s="2428">
        <v>27</v>
      </c>
      <c r="D3065" s="2428">
        <v>2727209.4832048598</v>
      </c>
      <c r="E3065" s="2429">
        <v>803705.03853872104</v>
      </c>
      <c r="F3065" s="2430">
        <v>0.40856270913281501</v>
      </c>
      <c r="G3065" s="2431">
        <v>0.12543219592465901</v>
      </c>
    </row>
    <row r="3066" spans="1:7" x14ac:dyDescent="0.3">
      <c r="A3066" s="6" t="s">
        <v>3130</v>
      </c>
      <c r="B3066" s="6"/>
      <c r="C3066" s="2424">
        <v>31</v>
      </c>
      <c r="D3066" s="2424">
        <v>2707830.7619581702</v>
      </c>
      <c r="E3066" s="2425">
        <v>559261.79679156002</v>
      </c>
      <c r="F3066" s="2426">
        <v>0.40565958676512098</v>
      </c>
      <c r="G3066" s="2427">
        <v>8.6428667281622504E-2</v>
      </c>
    </row>
    <row r="3067" spans="1:7" x14ac:dyDescent="0.3">
      <c r="A3067" s="11" t="s">
        <v>1079</v>
      </c>
      <c r="B3067" s="11"/>
      <c r="C3067" s="2428">
        <v>33</v>
      </c>
      <c r="D3067" s="2428">
        <v>2613175.6294297101</v>
      </c>
      <c r="E3067" s="2429">
        <v>365165.11581159302</v>
      </c>
      <c r="F3067" s="2430">
        <v>0.39147932022626097</v>
      </c>
      <c r="G3067" s="2431">
        <v>5.8814476630306499E-2</v>
      </c>
    </row>
    <row r="3068" spans="1:7" x14ac:dyDescent="0.3">
      <c r="A3068" s="6" t="s">
        <v>1061</v>
      </c>
      <c r="B3068" s="6"/>
      <c r="C3068" s="2424">
        <v>31</v>
      </c>
      <c r="D3068" s="2424">
        <v>2602366.8408508901</v>
      </c>
      <c r="E3068" s="2425">
        <v>1021741.14848963</v>
      </c>
      <c r="F3068" s="2426">
        <v>0.38986005776351201</v>
      </c>
      <c r="G3068" s="2427">
        <v>0.15225113379521901</v>
      </c>
    </row>
    <row r="3069" spans="1:7" x14ac:dyDescent="0.3">
      <c r="A3069" s="11" t="s">
        <v>1031</v>
      </c>
      <c r="B3069" s="11"/>
      <c r="C3069" s="2428">
        <v>27</v>
      </c>
      <c r="D3069" s="2428">
        <v>2534485.7075387002</v>
      </c>
      <c r="E3069" s="2429">
        <v>766661.75272908295</v>
      </c>
      <c r="F3069" s="2430">
        <v>0.37969079871105199</v>
      </c>
      <c r="G3069" s="2431">
        <v>0.105077286874296</v>
      </c>
    </row>
    <row r="3070" spans="1:7" x14ac:dyDescent="0.3">
      <c r="A3070" s="6" t="s">
        <v>3118</v>
      </c>
      <c r="B3070" s="6"/>
      <c r="C3070" s="2424">
        <v>33</v>
      </c>
      <c r="D3070" s="2424">
        <v>2506991.4018942998</v>
      </c>
      <c r="E3070" s="2425">
        <v>920214.65244082594</v>
      </c>
      <c r="F3070" s="2426">
        <v>0.375571882262213</v>
      </c>
      <c r="G3070" s="2427">
        <v>0.13000776922288601</v>
      </c>
    </row>
    <row r="3071" spans="1:7" x14ac:dyDescent="0.3">
      <c r="A3071" s="11" t="s">
        <v>3132</v>
      </c>
      <c r="B3071" s="11"/>
      <c r="C3071" s="2428">
        <v>24</v>
      </c>
      <c r="D3071" s="2428">
        <v>2463718.9028558698</v>
      </c>
      <c r="E3071" s="2429">
        <v>696025.14384250599</v>
      </c>
      <c r="F3071" s="2430">
        <v>0.36908923780568598</v>
      </c>
      <c r="G3071" s="2431">
        <v>0.107018836740675</v>
      </c>
    </row>
    <row r="3072" spans="1:7" x14ac:dyDescent="0.3">
      <c r="A3072" s="6" t="s">
        <v>1067</v>
      </c>
      <c r="B3072" s="6"/>
      <c r="C3072" s="2424">
        <v>41</v>
      </c>
      <c r="D3072" s="2424">
        <v>2439754.6134194601</v>
      </c>
      <c r="E3072" s="2425">
        <v>661608.274223699</v>
      </c>
      <c r="F3072" s="2426">
        <v>0.365499152381416</v>
      </c>
      <c r="G3072" s="2427">
        <v>0.101641644395494</v>
      </c>
    </row>
    <row r="3073" spans="1:7" x14ac:dyDescent="0.3">
      <c r="A3073" s="11" t="s">
        <v>1134</v>
      </c>
      <c r="B3073" s="11"/>
      <c r="C3073" s="2428">
        <v>23</v>
      </c>
      <c r="D3073" s="2428">
        <v>2424226.1372734699</v>
      </c>
      <c r="E3073" s="2429">
        <v>754993.115370568</v>
      </c>
      <c r="F3073" s="2430">
        <v>0.36317283446488702</v>
      </c>
      <c r="G3073" s="2431">
        <v>0.107055584938563</v>
      </c>
    </row>
    <row r="3074" spans="1:7" x14ac:dyDescent="0.3">
      <c r="A3074" s="6" t="s">
        <v>1122</v>
      </c>
      <c r="B3074" s="6"/>
      <c r="C3074" s="2424">
        <v>35</v>
      </c>
      <c r="D3074" s="2424">
        <v>2290992.65296327</v>
      </c>
      <c r="E3074" s="2425">
        <v>393132.205204962</v>
      </c>
      <c r="F3074" s="2426">
        <v>0.34321315273445702</v>
      </c>
      <c r="G3074" s="2427">
        <v>5.6843497181112097E-2</v>
      </c>
    </row>
    <row r="3075" spans="1:7" x14ac:dyDescent="0.3">
      <c r="A3075" s="11" t="s">
        <v>1114</v>
      </c>
      <c r="B3075" s="11"/>
      <c r="C3075" s="2428">
        <v>27</v>
      </c>
      <c r="D3075" s="2428">
        <v>2051004.9106693601</v>
      </c>
      <c r="E3075" s="2429">
        <v>535570.16096180701</v>
      </c>
      <c r="F3075" s="2430">
        <v>0.30726063689212901</v>
      </c>
      <c r="G3075" s="2431">
        <v>7.7732999653099294E-2</v>
      </c>
    </row>
    <row r="3076" spans="1:7" x14ac:dyDescent="0.3">
      <c r="A3076" s="6" t="s">
        <v>1128</v>
      </c>
      <c r="B3076" s="6"/>
      <c r="C3076" s="2424">
        <v>21</v>
      </c>
      <c r="D3076" s="2424">
        <v>2047775.22647248</v>
      </c>
      <c r="E3076" s="2425">
        <v>653196.15307422495</v>
      </c>
      <c r="F3076" s="2426">
        <v>0.30677679854628598</v>
      </c>
      <c r="G3076" s="2427">
        <v>9.5387160855294501E-2</v>
      </c>
    </row>
    <row r="3077" spans="1:7" x14ac:dyDescent="0.3">
      <c r="A3077" s="11" t="s">
        <v>3144</v>
      </c>
      <c r="B3077" s="11"/>
      <c r="C3077" s="2428">
        <v>23</v>
      </c>
      <c r="D3077" s="2428">
        <v>2045743.7926918</v>
      </c>
      <c r="E3077" s="2429">
        <v>1021460.96379491</v>
      </c>
      <c r="F3077" s="2430">
        <v>0.30647246985647703</v>
      </c>
      <c r="G3077" s="2431">
        <v>0.14425339988431701</v>
      </c>
    </row>
    <row r="3078" spans="1:7" x14ac:dyDescent="0.3">
      <c r="A3078" s="6" t="s">
        <v>1027</v>
      </c>
      <c r="B3078" s="6"/>
      <c r="C3078" s="2424">
        <v>20</v>
      </c>
      <c r="D3078" s="2424">
        <v>2012395.51971246</v>
      </c>
      <c r="E3078" s="2425">
        <v>824196.59161846503</v>
      </c>
      <c r="F3078" s="2426">
        <v>0.30147657172791498</v>
      </c>
      <c r="G3078" s="2427">
        <v>0.12821591445731501</v>
      </c>
    </row>
    <row r="3079" spans="1:7" x14ac:dyDescent="0.3">
      <c r="A3079" s="11" t="s">
        <v>1120</v>
      </c>
      <c r="B3079" s="11"/>
      <c r="C3079" s="2428">
        <v>18</v>
      </c>
      <c r="D3079" s="2428">
        <v>1805110.0693830701</v>
      </c>
      <c r="E3079" s="2429">
        <v>543698.15080431697</v>
      </c>
      <c r="F3079" s="2430">
        <v>0.27042317972706698</v>
      </c>
      <c r="G3079" s="2431">
        <v>8.1305225835122702E-2</v>
      </c>
    </row>
    <row r="3080" spans="1:7" x14ac:dyDescent="0.3">
      <c r="A3080" s="6" t="s">
        <v>3252</v>
      </c>
      <c r="B3080" s="6"/>
      <c r="C3080" s="2424">
        <v>29</v>
      </c>
      <c r="D3080" s="2424">
        <v>1740990.4268882901</v>
      </c>
      <c r="E3080" s="2425">
        <v>645838.60075383401</v>
      </c>
      <c r="F3080" s="2426">
        <v>0.260817428864281</v>
      </c>
      <c r="G3080" s="2427">
        <v>9.9930748342205694E-2</v>
      </c>
    </row>
    <row r="3081" spans="1:7" x14ac:dyDescent="0.3">
      <c r="A3081" s="11" t="s">
        <v>3116</v>
      </c>
      <c r="B3081" s="11"/>
      <c r="C3081" s="2428">
        <v>37</v>
      </c>
      <c r="D3081" s="2428">
        <v>1725376.1901801699</v>
      </c>
      <c r="E3081" s="2429">
        <v>459786.12870702503</v>
      </c>
      <c r="F3081" s="2430">
        <v>0.25847826317503098</v>
      </c>
      <c r="G3081" s="2431">
        <v>7.2058545164715895E-2</v>
      </c>
    </row>
    <row r="3082" spans="1:7" x14ac:dyDescent="0.3">
      <c r="A3082" s="6" t="s">
        <v>1071</v>
      </c>
      <c r="B3082" s="6"/>
      <c r="C3082" s="2424">
        <v>25</v>
      </c>
      <c r="D3082" s="2424">
        <v>1705541.7665206001</v>
      </c>
      <c r="E3082" s="2425">
        <v>709018.94310768403</v>
      </c>
      <c r="F3082" s="2426">
        <v>0.25550687211968698</v>
      </c>
      <c r="G3082" s="2427">
        <v>0.10649631087088</v>
      </c>
    </row>
    <row r="3083" spans="1:7" x14ac:dyDescent="0.3">
      <c r="A3083" s="11" t="s">
        <v>1136</v>
      </c>
      <c r="B3083" s="11"/>
      <c r="C3083" s="2428">
        <v>22</v>
      </c>
      <c r="D3083" s="2428">
        <v>1610972.2367712499</v>
      </c>
      <c r="E3083" s="2429">
        <v>997005.633211507</v>
      </c>
      <c r="F3083" s="2430">
        <v>0.241339429716105</v>
      </c>
      <c r="G3083" s="2431">
        <v>0.14209456962127801</v>
      </c>
    </row>
    <row r="3084" spans="1:7" x14ac:dyDescent="0.3">
      <c r="A3084" s="6" t="s">
        <v>1118</v>
      </c>
      <c r="B3084" s="6"/>
      <c r="C3084" s="2424">
        <v>19</v>
      </c>
      <c r="D3084" s="2424">
        <v>1578764.9705270601</v>
      </c>
      <c r="E3084" s="2425">
        <v>492678.59924256301</v>
      </c>
      <c r="F3084" s="2426">
        <v>0.236514465579126</v>
      </c>
      <c r="G3084" s="2427">
        <v>7.0588010533035705E-2</v>
      </c>
    </row>
    <row r="3085" spans="1:7" x14ac:dyDescent="0.3">
      <c r="A3085" s="11" t="s">
        <v>1081</v>
      </c>
      <c r="B3085" s="11"/>
      <c r="C3085" s="2428">
        <v>21</v>
      </c>
      <c r="D3085" s="2428">
        <v>1574166.85138865</v>
      </c>
      <c r="E3085" s="2429">
        <v>522893.58056996297</v>
      </c>
      <c r="F3085" s="2430">
        <v>0.23582562226743001</v>
      </c>
      <c r="G3085" s="2431">
        <v>8.0579015940854606E-2</v>
      </c>
    </row>
    <row r="3086" spans="1:7" x14ac:dyDescent="0.3">
      <c r="A3086" s="6" t="s">
        <v>3107</v>
      </c>
      <c r="B3086" s="6"/>
      <c r="C3086" s="2424">
        <v>23</v>
      </c>
      <c r="D3086" s="2424">
        <v>1565242.5737371901</v>
      </c>
      <c r="E3086" s="2425">
        <v>588619.23654761503</v>
      </c>
      <c r="F3086" s="2426">
        <v>0.234488678011115</v>
      </c>
      <c r="G3086" s="2427">
        <v>9.0311915179984895E-2</v>
      </c>
    </row>
    <row r="3087" spans="1:7" x14ac:dyDescent="0.3">
      <c r="A3087" s="11" t="s">
        <v>1025</v>
      </c>
      <c r="B3087" s="11"/>
      <c r="C3087" s="2428">
        <v>33</v>
      </c>
      <c r="D3087" s="2428">
        <v>1406480.6381133299</v>
      </c>
      <c r="E3087" s="2429">
        <v>407025.12105370098</v>
      </c>
      <c r="F3087" s="2430">
        <v>0.21070458407733</v>
      </c>
      <c r="G3087" s="2431">
        <v>5.9441760054917803E-2</v>
      </c>
    </row>
    <row r="3088" spans="1:7" x14ac:dyDescent="0.3">
      <c r="A3088" s="6" t="s">
        <v>3103</v>
      </c>
      <c r="B3088" s="6"/>
      <c r="C3088" s="2424">
        <v>29</v>
      </c>
      <c r="D3088" s="2424">
        <v>1294068.93946019</v>
      </c>
      <c r="E3088" s="2425">
        <v>360132.29469340399</v>
      </c>
      <c r="F3088" s="2426">
        <v>0.19386420990630099</v>
      </c>
      <c r="G3088" s="2427">
        <v>5.3656599693305898E-2</v>
      </c>
    </row>
    <row r="3089" spans="1:7" x14ac:dyDescent="0.3">
      <c r="A3089" s="11" t="s">
        <v>3101</v>
      </c>
      <c r="B3089" s="11"/>
      <c r="C3089" s="2428">
        <v>15</v>
      </c>
      <c r="D3089" s="2428">
        <v>1183917.23853204</v>
      </c>
      <c r="E3089" s="2429">
        <v>345383.07003462402</v>
      </c>
      <c r="F3089" s="2430">
        <v>0.17736240554402499</v>
      </c>
      <c r="G3089" s="2431">
        <v>4.7414412578630397E-2</v>
      </c>
    </row>
    <row r="3090" spans="1:7" x14ac:dyDescent="0.3">
      <c r="A3090" s="6" t="s">
        <v>1142</v>
      </c>
      <c r="B3090" s="6"/>
      <c r="C3090" s="2424">
        <v>23</v>
      </c>
      <c r="D3090" s="2424">
        <v>1127500.0197894301</v>
      </c>
      <c r="E3090" s="2425">
        <v>427680.076689957</v>
      </c>
      <c r="F3090" s="2426">
        <v>0.168910553248421</v>
      </c>
      <c r="G3090" s="2427">
        <v>6.1348009360782302E-2</v>
      </c>
    </row>
    <row r="3091" spans="1:7" x14ac:dyDescent="0.3">
      <c r="A3091" s="11" t="s">
        <v>3122</v>
      </c>
      <c r="B3091" s="11"/>
      <c r="C3091" s="2428">
        <v>21</v>
      </c>
      <c r="D3091" s="2428">
        <v>1119269.9728788801</v>
      </c>
      <c r="E3091" s="2429">
        <v>322515.11092470097</v>
      </c>
      <c r="F3091" s="2430">
        <v>0.167677611561039</v>
      </c>
      <c r="G3091" s="2431">
        <v>4.9979727326910799E-2</v>
      </c>
    </row>
    <row r="3092" spans="1:7" x14ac:dyDescent="0.3">
      <c r="A3092" s="6" t="s">
        <v>1144</v>
      </c>
      <c r="B3092" s="6"/>
      <c r="C3092" s="2424">
        <v>23</v>
      </c>
      <c r="D3092" s="2424">
        <v>1103617.4486651099</v>
      </c>
      <c r="E3092" s="2425">
        <v>273988.70947389503</v>
      </c>
      <c r="F3092" s="2426">
        <v>0.16533271002819899</v>
      </c>
      <c r="G3092" s="2427">
        <v>4.3665257028023097E-2</v>
      </c>
    </row>
    <row r="3093" spans="1:7" x14ac:dyDescent="0.3">
      <c r="A3093" s="11" t="s">
        <v>3136</v>
      </c>
      <c r="B3093" s="11"/>
      <c r="C3093" s="2428">
        <v>16</v>
      </c>
      <c r="D3093" s="2428">
        <v>943639.73191324295</v>
      </c>
      <c r="E3093" s="2429">
        <v>356627.05832384399</v>
      </c>
      <c r="F3093" s="2430">
        <v>0.141366480165938</v>
      </c>
      <c r="G3093" s="2431">
        <v>5.4313823979221298E-2</v>
      </c>
    </row>
    <row r="3094" spans="1:7" x14ac:dyDescent="0.3">
      <c r="A3094" s="6" t="s">
        <v>1130</v>
      </c>
      <c r="B3094" s="6"/>
      <c r="C3094" s="2424">
        <v>15</v>
      </c>
      <c r="D3094" s="2424">
        <v>919184.75409276702</v>
      </c>
      <c r="E3094" s="2425">
        <v>343749.89952783397</v>
      </c>
      <c r="F3094" s="2426">
        <v>0.137702884812648</v>
      </c>
      <c r="G3094" s="2427">
        <v>5.3171471069169397E-2</v>
      </c>
    </row>
    <row r="3095" spans="1:7" x14ac:dyDescent="0.3">
      <c r="A3095" s="11" t="s">
        <v>1069</v>
      </c>
      <c r="B3095" s="11"/>
      <c r="C3095" s="2428">
        <v>24</v>
      </c>
      <c r="D3095" s="2428">
        <v>871556.423531787</v>
      </c>
      <c r="E3095" s="2429">
        <v>378836.73251559102</v>
      </c>
      <c r="F3095" s="2430">
        <v>0.13056769410386601</v>
      </c>
      <c r="G3095" s="2431">
        <v>5.7775331102413403E-2</v>
      </c>
    </row>
    <row r="3096" spans="1:7" x14ac:dyDescent="0.3">
      <c r="A3096" s="6" t="s">
        <v>3254</v>
      </c>
      <c r="B3096" s="6"/>
      <c r="C3096" s="2424">
        <v>11</v>
      </c>
      <c r="D3096" s="2424">
        <v>301630.529996995</v>
      </c>
      <c r="E3096" s="2425">
        <v>133544.613130212</v>
      </c>
      <c r="F3096" s="2426">
        <v>4.5187209582419098E-2</v>
      </c>
      <c r="G3096" s="2427">
        <v>2.0781973789114599E-2</v>
      </c>
    </row>
    <row r="3097" spans="1:7" x14ac:dyDescent="0.3">
      <c r="A3097" s="11" t="s">
        <v>6354</v>
      </c>
      <c r="B3097" s="11" t="s">
        <v>6355</v>
      </c>
      <c r="C3097" s="2428">
        <v>7515</v>
      </c>
      <c r="D3097" s="2428">
        <v>667513070.14618099</v>
      </c>
      <c r="E3097" s="2429">
        <v>23529830.745544001</v>
      </c>
      <c r="F3097" s="2430">
        <v>100</v>
      </c>
      <c r="G3097" s="2431">
        <v>1.45362315675074E-14</v>
      </c>
    </row>
    <row r="3098" spans="1:7" x14ac:dyDescent="0.3">
      <c r="A3098" s="6" t="s">
        <v>6354</v>
      </c>
      <c r="B3098" s="6" t="s">
        <v>6356</v>
      </c>
      <c r="C3098" s="2424">
        <v>7515</v>
      </c>
      <c r="D3098" s="2424">
        <v>667513070.14618099</v>
      </c>
      <c r="E3098" s="2425">
        <v>0</v>
      </c>
      <c r="F3098" s="2426">
        <v>100</v>
      </c>
      <c r="G3098" s="2427">
        <v>0</v>
      </c>
    </row>
    <row r="3099" spans="1:7" x14ac:dyDescent="0.3">
      <c r="A3099" s="3449" t="s">
        <v>662</v>
      </c>
      <c r="B3099" s="3450"/>
      <c r="C3099" s="3450"/>
      <c r="D3099" s="3450"/>
      <c r="E3099" s="3450"/>
      <c r="F3099" s="3450"/>
      <c r="G3099" s="3450"/>
    </row>
    <row r="3100" spans="1:7" x14ac:dyDescent="0.3">
      <c r="A3100" s="11" t="s">
        <v>6471</v>
      </c>
      <c r="B3100" s="11"/>
      <c r="C3100" s="2436">
        <v>4661</v>
      </c>
      <c r="D3100" s="2436">
        <v>412461548.94411099</v>
      </c>
      <c r="E3100" s="2437">
        <v>19200515.944091499</v>
      </c>
      <c r="F3100" s="2438">
        <v>61.790782441726002</v>
      </c>
      <c r="G3100" s="2439">
        <v>0.94258481023095697</v>
      </c>
    </row>
    <row r="3101" spans="1:7" x14ac:dyDescent="0.3">
      <c r="A3101" s="6" t="s">
        <v>6470</v>
      </c>
      <c r="B3101" s="6"/>
      <c r="C3101" s="2432">
        <v>2854</v>
      </c>
      <c r="D3101" s="2432">
        <v>255051521.20206699</v>
      </c>
      <c r="E3101" s="2433">
        <v>6894224.3950820304</v>
      </c>
      <c r="F3101" s="2434">
        <v>38.209217558273998</v>
      </c>
      <c r="G3101" s="2435">
        <v>0.94258481023096696</v>
      </c>
    </row>
    <row r="3102" spans="1:7" x14ac:dyDescent="0.3">
      <c r="A3102" s="11" t="s">
        <v>6354</v>
      </c>
      <c r="B3102" s="11" t="s">
        <v>6355</v>
      </c>
      <c r="C3102" s="2436">
        <v>7515</v>
      </c>
      <c r="D3102" s="2436">
        <v>667513070.14617801</v>
      </c>
      <c r="E3102" s="2437">
        <v>23529830.745544001</v>
      </c>
      <c r="F3102" s="2438">
        <v>100</v>
      </c>
      <c r="G3102" s="2439">
        <v>9.4764635797477106E-14</v>
      </c>
    </row>
    <row r="3103" spans="1:7" x14ac:dyDescent="0.3">
      <c r="A3103" s="6" t="s">
        <v>6354</v>
      </c>
      <c r="B3103" s="6" t="s">
        <v>6356</v>
      </c>
      <c r="C3103" s="2432">
        <v>7515</v>
      </c>
      <c r="D3103" s="2432">
        <v>667513070.14617801</v>
      </c>
      <c r="E3103" s="2433">
        <v>0</v>
      </c>
      <c r="F3103" s="2434">
        <v>100</v>
      </c>
      <c r="G3103" s="2435">
        <v>0</v>
      </c>
    </row>
    <row r="3104" spans="1:7" x14ac:dyDescent="0.3">
      <c r="A3104" s="3449" t="s">
        <v>176</v>
      </c>
      <c r="B3104" s="3450"/>
      <c r="C3104" s="3450"/>
      <c r="D3104" s="3450"/>
      <c r="E3104" s="3450"/>
      <c r="F3104" s="3450"/>
      <c r="G3104" s="3450"/>
    </row>
    <row r="3105" spans="1:7" x14ac:dyDescent="0.3">
      <c r="A3105" s="11" t="s">
        <v>1042</v>
      </c>
      <c r="B3105" s="11"/>
      <c r="C3105" s="2444">
        <v>816</v>
      </c>
      <c r="D3105" s="2444">
        <v>87522237.511477605</v>
      </c>
      <c r="E3105" s="2445">
        <v>5518810.7191445502</v>
      </c>
      <c r="F3105" s="2446">
        <v>13.1116889579871</v>
      </c>
      <c r="G3105" s="2447">
        <v>0.71275274468879202</v>
      </c>
    </row>
    <row r="3106" spans="1:7" x14ac:dyDescent="0.3">
      <c r="A3106" s="6" t="s">
        <v>1040</v>
      </c>
      <c r="B3106" s="6"/>
      <c r="C3106" s="2440">
        <v>835</v>
      </c>
      <c r="D3106" s="2440">
        <v>86212088.061930999</v>
      </c>
      <c r="E3106" s="2441">
        <v>5534874.4070474301</v>
      </c>
      <c r="F3106" s="2442">
        <v>12.9154157300697</v>
      </c>
      <c r="G3106" s="2443">
        <v>0.79735677433827101</v>
      </c>
    </row>
    <row r="3107" spans="1:7" x14ac:dyDescent="0.3">
      <c r="A3107" s="11" t="s">
        <v>1029</v>
      </c>
      <c r="B3107" s="11"/>
      <c r="C3107" s="2444">
        <v>713</v>
      </c>
      <c r="D3107" s="2444">
        <v>70186636.258863598</v>
      </c>
      <c r="E3107" s="2445">
        <v>3121614.92782829</v>
      </c>
      <c r="F3107" s="2446">
        <v>10.514645989402601</v>
      </c>
      <c r="G3107" s="2447">
        <v>0.408926068510646</v>
      </c>
    </row>
    <row r="3108" spans="1:7" x14ac:dyDescent="0.3">
      <c r="A3108" s="6" t="s">
        <v>1027</v>
      </c>
      <c r="B3108" s="6"/>
      <c r="C3108" s="2440">
        <v>648</v>
      </c>
      <c r="D3108" s="2440">
        <v>64486741.003564499</v>
      </c>
      <c r="E3108" s="2441">
        <v>5897896.28657794</v>
      </c>
      <c r="F3108" s="2442">
        <v>9.66074581722307</v>
      </c>
      <c r="G3108" s="2443">
        <v>0.61926976639037501</v>
      </c>
    </row>
    <row r="3109" spans="1:7" x14ac:dyDescent="0.3">
      <c r="A3109" s="11" t="s">
        <v>1031</v>
      </c>
      <c r="B3109" s="11"/>
      <c r="C3109" s="2444">
        <v>671</v>
      </c>
      <c r="D3109" s="2444">
        <v>64172337.931574501</v>
      </c>
      <c r="E3109" s="2445">
        <v>5224344.8351811003</v>
      </c>
      <c r="F3109" s="2446">
        <v>9.6136451556703193</v>
      </c>
      <c r="G3109" s="2447">
        <v>0.60202061436741305</v>
      </c>
    </row>
    <row r="3110" spans="1:7" x14ac:dyDescent="0.3">
      <c r="A3110" s="6" t="s">
        <v>1025</v>
      </c>
      <c r="B3110" s="6"/>
      <c r="C3110" s="2440">
        <v>576</v>
      </c>
      <c r="D3110" s="2440">
        <v>52108456.1702317</v>
      </c>
      <c r="E3110" s="2441">
        <v>3758005.1054381002</v>
      </c>
      <c r="F3110" s="2442">
        <v>7.8063574333938304</v>
      </c>
      <c r="G3110" s="2443">
        <v>0.58215581034888497</v>
      </c>
    </row>
    <row r="3111" spans="1:7" x14ac:dyDescent="0.3">
      <c r="A3111" s="11" t="s">
        <v>1061</v>
      </c>
      <c r="B3111" s="11"/>
      <c r="C3111" s="2444">
        <v>551</v>
      </c>
      <c r="D3111" s="2444">
        <v>43706392.026896201</v>
      </c>
      <c r="E3111" s="2445">
        <v>2363381.6749924002</v>
      </c>
      <c r="F3111" s="2446">
        <v>6.5476458786529603</v>
      </c>
      <c r="G3111" s="2447">
        <v>0.277829990473275</v>
      </c>
    </row>
    <row r="3112" spans="1:7" x14ac:dyDescent="0.3">
      <c r="A3112" s="6" t="s">
        <v>1023</v>
      </c>
      <c r="B3112" s="6"/>
      <c r="C3112" s="2440">
        <v>490</v>
      </c>
      <c r="D3112" s="2440">
        <v>41748306.228060298</v>
      </c>
      <c r="E3112" s="2441">
        <v>5694168.4961298201</v>
      </c>
      <c r="F3112" s="2442">
        <v>6.25430543538537</v>
      </c>
      <c r="G3112" s="2443">
        <v>0.81092944056426697</v>
      </c>
    </row>
    <row r="3113" spans="1:7" x14ac:dyDescent="0.3">
      <c r="A3113" s="11" t="s">
        <v>1067</v>
      </c>
      <c r="B3113" s="11"/>
      <c r="C3113" s="2444">
        <v>631</v>
      </c>
      <c r="D3113" s="2444">
        <v>40835591.256562598</v>
      </c>
      <c r="E3113" s="2445">
        <v>2754980.25833689</v>
      </c>
      <c r="F3113" s="2446">
        <v>6.1175717874138202</v>
      </c>
      <c r="G3113" s="2447">
        <v>0.46721114147000298</v>
      </c>
    </row>
    <row r="3114" spans="1:7" x14ac:dyDescent="0.3">
      <c r="A3114" s="6" t="s">
        <v>1065</v>
      </c>
      <c r="B3114" s="6"/>
      <c r="C3114" s="2440">
        <v>557</v>
      </c>
      <c r="D3114" s="2440">
        <v>40805636.514687501</v>
      </c>
      <c r="E3114" s="2441">
        <v>4927284.9013050003</v>
      </c>
      <c r="F3114" s="2442">
        <v>6.1130842735036497</v>
      </c>
      <c r="G3114" s="2443">
        <v>0.58412812524118796</v>
      </c>
    </row>
    <row r="3115" spans="1:7" x14ac:dyDescent="0.3">
      <c r="A3115" s="11" t="s">
        <v>1021</v>
      </c>
      <c r="B3115" s="11"/>
      <c r="C3115" s="2444">
        <v>520</v>
      </c>
      <c r="D3115" s="2444">
        <v>38169111.624433704</v>
      </c>
      <c r="E3115" s="2445">
        <v>3281181.1661022799</v>
      </c>
      <c r="F3115" s="2446">
        <v>5.7181070051669503</v>
      </c>
      <c r="G3115" s="2447">
        <v>0.35765712009637901</v>
      </c>
    </row>
    <row r="3116" spans="1:7" x14ac:dyDescent="0.3">
      <c r="A3116" s="6" t="s">
        <v>1063</v>
      </c>
      <c r="B3116" s="6"/>
      <c r="C3116" s="2440">
        <v>507</v>
      </c>
      <c r="D3116" s="2440">
        <v>37559535.557897396</v>
      </c>
      <c r="E3116" s="2441">
        <v>4399362.8315635202</v>
      </c>
      <c r="F3116" s="2442">
        <v>5.6267865361306102</v>
      </c>
      <c r="G3116" s="2443">
        <v>0.76561730541929796</v>
      </c>
    </row>
    <row r="3117" spans="1:7" x14ac:dyDescent="0.3">
      <c r="A3117" s="11" t="s">
        <v>6354</v>
      </c>
      <c r="B3117" s="11" t="s">
        <v>6355</v>
      </c>
      <c r="C3117" s="2444">
        <v>7515</v>
      </c>
      <c r="D3117" s="2444">
        <v>667513070.14618099</v>
      </c>
      <c r="E3117" s="2445">
        <v>23529830.745544098</v>
      </c>
      <c r="F3117" s="2446">
        <v>100</v>
      </c>
      <c r="G3117" s="2447">
        <v>0</v>
      </c>
    </row>
    <row r="3118" spans="1:7" x14ac:dyDescent="0.3">
      <c r="A3118" s="6" t="s">
        <v>6354</v>
      </c>
      <c r="B3118" s="6" t="s">
        <v>6356</v>
      </c>
      <c r="C3118" s="2440">
        <v>7515</v>
      </c>
      <c r="D3118" s="2440">
        <v>667513070.14618099</v>
      </c>
      <c r="E3118" s="2441">
        <v>0</v>
      </c>
      <c r="F3118" s="2442">
        <v>100</v>
      </c>
      <c r="G3118" s="2443">
        <v>0</v>
      </c>
    </row>
    <row r="3119" spans="1:7" x14ac:dyDescent="0.3">
      <c r="A3119" s="3449" t="s">
        <v>178</v>
      </c>
      <c r="B3119" s="3450"/>
      <c r="C3119" s="3450"/>
      <c r="D3119" s="3450"/>
      <c r="E3119" s="3450"/>
      <c r="F3119" s="3450"/>
      <c r="G3119" s="3450"/>
    </row>
    <row r="3120" spans="1:7" x14ac:dyDescent="0.3">
      <c r="A3120" s="11" t="s">
        <v>1219</v>
      </c>
      <c r="B3120" s="11"/>
      <c r="C3120" s="2452">
        <v>871</v>
      </c>
      <c r="D3120" s="2452">
        <v>80164807.100141093</v>
      </c>
      <c r="E3120" s="2453">
        <v>4543425.0509639801</v>
      </c>
      <c r="F3120" s="2454">
        <v>12.009473774436399</v>
      </c>
      <c r="G3120" s="2455">
        <v>0.75524705267354497</v>
      </c>
    </row>
    <row r="3121" spans="1:7" x14ac:dyDescent="0.3">
      <c r="A3121" s="6" t="s">
        <v>1224</v>
      </c>
      <c r="B3121" s="6"/>
      <c r="C3121" s="2448">
        <v>775</v>
      </c>
      <c r="D3121" s="2448">
        <v>64630933.7109828</v>
      </c>
      <c r="E3121" s="2449">
        <v>4880849.4412541399</v>
      </c>
      <c r="F3121" s="2450">
        <v>9.6823472979831102</v>
      </c>
      <c r="G3121" s="2451">
        <v>0.59482309518342003</v>
      </c>
    </row>
    <row r="3122" spans="1:7" x14ac:dyDescent="0.3">
      <c r="A3122" s="11" t="s">
        <v>3128</v>
      </c>
      <c r="B3122" s="11"/>
      <c r="C3122" s="2452">
        <v>602</v>
      </c>
      <c r="D3122" s="2452">
        <v>54520102.707943402</v>
      </c>
      <c r="E3122" s="2453">
        <v>6444524.4260877902</v>
      </c>
      <c r="F3122" s="2454">
        <v>8.1676457205555408</v>
      </c>
      <c r="G3122" s="2455">
        <v>0.72177452283899002</v>
      </c>
    </row>
    <row r="3123" spans="1:7" x14ac:dyDescent="0.3">
      <c r="A3123" s="6" t="s">
        <v>1073</v>
      </c>
      <c r="B3123" s="6"/>
      <c r="C3123" s="2448">
        <v>582</v>
      </c>
      <c r="D3123" s="2448">
        <v>47839574.519192599</v>
      </c>
      <c r="E3123" s="2449">
        <v>4280364.6439176202</v>
      </c>
      <c r="F3123" s="2450">
        <v>7.1668371240605202</v>
      </c>
      <c r="G3123" s="2451">
        <v>0.70311949669100304</v>
      </c>
    </row>
    <row r="3124" spans="1:7" x14ac:dyDescent="0.3">
      <c r="A3124" s="11" t="s">
        <v>1228</v>
      </c>
      <c r="B3124" s="11"/>
      <c r="C3124" s="2452">
        <v>402</v>
      </c>
      <c r="D3124" s="2452">
        <v>42208175.436639503</v>
      </c>
      <c r="E3124" s="2453">
        <v>3975114.1355810398</v>
      </c>
      <c r="F3124" s="2454">
        <v>6.3231983498684601</v>
      </c>
      <c r="G3124" s="2455">
        <v>0.68675775669555295</v>
      </c>
    </row>
    <row r="3125" spans="1:7" x14ac:dyDescent="0.3">
      <c r="A3125" s="6" t="s">
        <v>1222</v>
      </c>
      <c r="B3125" s="6"/>
      <c r="C3125" s="2448">
        <v>461</v>
      </c>
      <c r="D3125" s="2448">
        <v>40159525.396675698</v>
      </c>
      <c r="E3125" s="2449">
        <v>3191651.7836870598</v>
      </c>
      <c r="F3125" s="2450">
        <v>6.0162904956873797</v>
      </c>
      <c r="G3125" s="2451">
        <v>0.58696720683591697</v>
      </c>
    </row>
    <row r="3126" spans="1:7" x14ac:dyDescent="0.3">
      <c r="A3126" s="11" t="s">
        <v>1226</v>
      </c>
      <c r="B3126" s="11"/>
      <c r="C3126" s="2452">
        <v>408</v>
      </c>
      <c r="D3126" s="2452">
        <v>36124512.123984002</v>
      </c>
      <c r="E3126" s="2453">
        <v>3299272.0404749499</v>
      </c>
      <c r="F3126" s="2454">
        <v>5.4118059615031902</v>
      </c>
      <c r="G3126" s="2455">
        <v>0.56536700455029398</v>
      </c>
    </row>
    <row r="3127" spans="1:7" x14ac:dyDescent="0.3">
      <c r="A3127" s="6" t="s">
        <v>1063</v>
      </c>
      <c r="B3127" s="6"/>
      <c r="C3127" s="2448">
        <v>392</v>
      </c>
      <c r="D3127" s="2448">
        <v>35060541.012682803</v>
      </c>
      <c r="E3127" s="2449">
        <v>3727560.02091556</v>
      </c>
      <c r="F3127" s="2450">
        <v>5.2524126613737696</v>
      </c>
      <c r="G3127" s="2451">
        <v>0.41676585437944702</v>
      </c>
    </row>
    <row r="3128" spans="1:7" x14ac:dyDescent="0.3">
      <c r="A3128" s="11" t="s">
        <v>3114</v>
      </c>
      <c r="B3128" s="11"/>
      <c r="C3128" s="2452">
        <v>349</v>
      </c>
      <c r="D3128" s="2452">
        <v>30728796.887315601</v>
      </c>
      <c r="E3128" s="2453">
        <v>3593849.8562453701</v>
      </c>
      <c r="F3128" s="2454">
        <v>4.6034749372901702</v>
      </c>
      <c r="G3128" s="2455">
        <v>0.48802557039433703</v>
      </c>
    </row>
    <row r="3129" spans="1:7" x14ac:dyDescent="0.3">
      <c r="A3129" s="6" t="s">
        <v>1029</v>
      </c>
      <c r="B3129" s="6"/>
      <c r="C3129" s="2448">
        <v>294</v>
      </c>
      <c r="D3129" s="2448">
        <v>29067649.2866535</v>
      </c>
      <c r="E3129" s="2449">
        <v>4879564.3043291401</v>
      </c>
      <c r="F3129" s="2450">
        <v>4.3546187463097796</v>
      </c>
      <c r="G3129" s="2451">
        <v>0.67373506608996703</v>
      </c>
    </row>
    <row r="3130" spans="1:7" x14ac:dyDescent="0.3">
      <c r="A3130" s="11" t="s">
        <v>3099</v>
      </c>
      <c r="B3130" s="11"/>
      <c r="C3130" s="2452">
        <v>313</v>
      </c>
      <c r="D3130" s="2452">
        <v>28259028.1691119</v>
      </c>
      <c r="E3130" s="2453">
        <v>5022074.7552646101</v>
      </c>
      <c r="F3130" s="2454">
        <v>4.2334793778529898</v>
      </c>
      <c r="G3130" s="2455">
        <v>0.70146437354328695</v>
      </c>
    </row>
    <row r="3131" spans="1:7" x14ac:dyDescent="0.3">
      <c r="A3131" s="6" t="s">
        <v>3142</v>
      </c>
      <c r="B3131" s="6"/>
      <c r="C3131" s="2448">
        <v>243</v>
      </c>
      <c r="D3131" s="2448">
        <v>22099678.797085799</v>
      </c>
      <c r="E3131" s="2449">
        <v>2623570.1287425002</v>
      </c>
      <c r="F3131" s="2450">
        <v>3.3107484760180301</v>
      </c>
      <c r="G3131" s="2451">
        <v>0.34780388963109898</v>
      </c>
    </row>
    <row r="3132" spans="1:7" x14ac:dyDescent="0.3">
      <c r="A3132" s="11" t="s">
        <v>1023</v>
      </c>
      <c r="B3132" s="11"/>
      <c r="C3132" s="2452">
        <v>62</v>
      </c>
      <c r="D3132" s="2452">
        <v>8060961.9934169697</v>
      </c>
      <c r="E3132" s="2453">
        <v>2252145.3241719399</v>
      </c>
      <c r="F3132" s="2454">
        <v>1.20761110964489</v>
      </c>
      <c r="G3132" s="2455">
        <v>0.34077361131407902</v>
      </c>
    </row>
    <row r="3133" spans="1:7" x14ac:dyDescent="0.3">
      <c r="A3133" s="6" t="s">
        <v>1042</v>
      </c>
      <c r="B3133" s="6"/>
      <c r="C3133" s="2448">
        <v>68</v>
      </c>
      <c r="D3133" s="2448">
        <v>7224121.4345907904</v>
      </c>
      <c r="E3133" s="2449">
        <v>2155504.9936431702</v>
      </c>
      <c r="F3133" s="2450">
        <v>1.08224419231353</v>
      </c>
      <c r="G3133" s="2451">
        <v>0.34517194453974798</v>
      </c>
    </row>
    <row r="3134" spans="1:7" x14ac:dyDescent="0.3">
      <c r="A3134" s="11" t="s">
        <v>3134</v>
      </c>
      <c r="B3134" s="11"/>
      <c r="C3134" s="2452">
        <v>63</v>
      </c>
      <c r="D3134" s="2452">
        <v>6188719.0704576001</v>
      </c>
      <c r="E3134" s="2453">
        <v>1353408.6946326201</v>
      </c>
      <c r="F3134" s="2454">
        <v>0.92713077050346204</v>
      </c>
      <c r="G3134" s="2455">
        <v>0.194120166599243</v>
      </c>
    </row>
    <row r="3135" spans="1:7" x14ac:dyDescent="0.3">
      <c r="A3135" s="6" t="s">
        <v>1116</v>
      </c>
      <c r="B3135" s="6"/>
      <c r="C3135" s="2448">
        <v>58</v>
      </c>
      <c r="D3135" s="2448">
        <v>5669432.5746394303</v>
      </c>
      <c r="E3135" s="2449">
        <v>1754123.9506967601</v>
      </c>
      <c r="F3135" s="2450">
        <v>0.84933656406126601</v>
      </c>
      <c r="G3135" s="2451">
        <v>0.24914093696401099</v>
      </c>
    </row>
    <row r="3136" spans="1:7" x14ac:dyDescent="0.3">
      <c r="A3136" s="11" t="s">
        <v>1021</v>
      </c>
      <c r="B3136" s="11"/>
      <c r="C3136" s="2452">
        <v>48</v>
      </c>
      <c r="D3136" s="2452">
        <v>5333388.3815915296</v>
      </c>
      <c r="E3136" s="2453">
        <v>1264773.9526269401</v>
      </c>
      <c r="F3136" s="2454">
        <v>0.79899385047600002</v>
      </c>
      <c r="G3136" s="2455">
        <v>0.198814755587535</v>
      </c>
    </row>
    <row r="3137" spans="1:7" x14ac:dyDescent="0.3">
      <c r="A3137" s="6" t="s">
        <v>3120</v>
      </c>
      <c r="B3137" s="6"/>
      <c r="C3137" s="2448">
        <v>38</v>
      </c>
      <c r="D3137" s="2448">
        <v>4803815.7940518605</v>
      </c>
      <c r="E3137" s="2449">
        <v>851789.95083173004</v>
      </c>
      <c r="F3137" s="2450">
        <v>0.71965868668307298</v>
      </c>
      <c r="G3137" s="2451">
        <v>0.131129572720798</v>
      </c>
    </row>
    <row r="3138" spans="1:7" x14ac:dyDescent="0.3">
      <c r="A3138" s="11" t="s">
        <v>1075</v>
      </c>
      <c r="B3138" s="11"/>
      <c r="C3138" s="2452">
        <v>41</v>
      </c>
      <c r="D3138" s="2452">
        <v>4717533.0294840699</v>
      </c>
      <c r="E3138" s="2453">
        <v>1368306.57501828</v>
      </c>
      <c r="F3138" s="2454">
        <v>0.706732682919746</v>
      </c>
      <c r="G3138" s="2455">
        <v>0.19046455949068</v>
      </c>
    </row>
    <row r="3139" spans="1:7" x14ac:dyDescent="0.3">
      <c r="A3139" s="6" t="s">
        <v>1124</v>
      </c>
      <c r="B3139" s="6"/>
      <c r="C3139" s="2448">
        <v>59</v>
      </c>
      <c r="D3139" s="2448">
        <v>4293221.7093140204</v>
      </c>
      <c r="E3139" s="2449">
        <v>1039750.13835412</v>
      </c>
      <c r="F3139" s="2450">
        <v>0.64316668861238002</v>
      </c>
      <c r="G3139" s="2451">
        <v>0.17073554159122101</v>
      </c>
    </row>
    <row r="3140" spans="1:7" x14ac:dyDescent="0.3">
      <c r="A3140" s="11" t="s">
        <v>1077</v>
      </c>
      <c r="B3140" s="11"/>
      <c r="C3140" s="2452">
        <v>37</v>
      </c>
      <c r="D3140" s="2452">
        <v>4237341.0300683798</v>
      </c>
      <c r="E3140" s="2453">
        <v>937578.29068827699</v>
      </c>
      <c r="F3140" s="2454">
        <v>0.63479521519188098</v>
      </c>
      <c r="G3140" s="2455">
        <v>0.151148398010859</v>
      </c>
    </row>
    <row r="3141" spans="1:7" x14ac:dyDescent="0.3">
      <c r="A3141" s="6" t="s">
        <v>1079</v>
      </c>
      <c r="B3141" s="6"/>
      <c r="C3141" s="2448">
        <v>47</v>
      </c>
      <c r="D3141" s="2448">
        <v>4214763.2882018797</v>
      </c>
      <c r="E3141" s="2449">
        <v>955681.871811694</v>
      </c>
      <c r="F3141" s="2450">
        <v>0.63141284818271404</v>
      </c>
      <c r="G3141" s="2451">
        <v>0.13505688230580701</v>
      </c>
    </row>
    <row r="3142" spans="1:7" x14ac:dyDescent="0.3">
      <c r="A3142" s="11" t="s">
        <v>3118</v>
      </c>
      <c r="B3142" s="11"/>
      <c r="C3142" s="2452">
        <v>47</v>
      </c>
      <c r="D3142" s="2452">
        <v>4188087.2998512601</v>
      </c>
      <c r="E3142" s="2453">
        <v>1026549.1717895</v>
      </c>
      <c r="F3142" s="2454">
        <v>0.62741652368456202</v>
      </c>
      <c r="G3142" s="2455">
        <v>0.157499135542818</v>
      </c>
    </row>
    <row r="3143" spans="1:7" x14ac:dyDescent="0.3">
      <c r="A3143" s="6" t="s">
        <v>3132</v>
      </c>
      <c r="B3143" s="6"/>
      <c r="C3143" s="2448">
        <v>47</v>
      </c>
      <c r="D3143" s="2448">
        <v>4151305.0935587301</v>
      </c>
      <c r="E3143" s="2449">
        <v>1442257.50490158</v>
      </c>
      <c r="F3143" s="2450">
        <v>0.62190618869074998</v>
      </c>
      <c r="G3143" s="2451">
        <v>0.200431948442858</v>
      </c>
    </row>
    <row r="3144" spans="1:7" x14ac:dyDescent="0.3">
      <c r="A3144" s="11" t="s">
        <v>1040</v>
      </c>
      <c r="B3144" s="11"/>
      <c r="C3144" s="2452">
        <v>54</v>
      </c>
      <c r="D3144" s="2452">
        <v>4124085.8657122198</v>
      </c>
      <c r="E3144" s="2453">
        <v>1113311.5499098301</v>
      </c>
      <c r="F3144" s="2454">
        <v>0.61782848159199</v>
      </c>
      <c r="G3144" s="2455">
        <v>0.176702190210068</v>
      </c>
    </row>
    <row r="3145" spans="1:7" x14ac:dyDescent="0.3">
      <c r="A3145" s="6" t="s">
        <v>3252</v>
      </c>
      <c r="B3145" s="6"/>
      <c r="C3145" s="2448">
        <v>59</v>
      </c>
      <c r="D3145" s="2448">
        <v>4097459.9278895399</v>
      </c>
      <c r="E3145" s="2449">
        <v>1012359.50818043</v>
      </c>
      <c r="F3145" s="2450">
        <v>0.61383965515345296</v>
      </c>
      <c r="G3145" s="2451">
        <v>0.13679806859038099</v>
      </c>
    </row>
    <row r="3146" spans="1:7" x14ac:dyDescent="0.3">
      <c r="A3146" s="11" t="s">
        <v>1067</v>
      </c>
      <c r="B3146" s="11"/>
      <c r="C3146" s="2452">
        <v>52</v>
      </c>
      <c r="D3146" s="2452">
        <v>3886105.59774662</v>
      </c>
      <c r="E3146" s="2453">
        <v>1568787.0556504</v>
      </c>
      <c r="F3146" s="2454">
        <v>0.58217670507868702</v>
      </c>
      <c r="G3146" s="2455">
        <v>0.228022035572817</v>
      </c>
    </row>
    <row r="3147" spans="1:7" x14ac:dyDescent="0.3">
      <c r="A3147" s="6" t="s">
        <v>1071</v>
      </c>
      <c r="B3147" s="6"/>
      <c r="C3147" s="2448">
        <v>27</v>
      </c>
      <c r="D3147" s="2448">
        <v>3664785.1603947799</v>
      </c>
      <c r="E3147" s="2449">
        <v>1036325.86060307</v>
      </c>
      <c r="F3147" s="2450">
        <v>0.54902073446924604</v>
      </c>
      <c r="G3147" s="2451">
        <v>0.153600627400932</v>
      </c>
    </row>
    <row r="3148" spans="1:7" x14ac:dyDescent="0.3">
      <c r="A3148" s="11" t="s">
        <v>1126</v>
      </c>
      <c r="B3148" s="11"/>
      <c r="C3148" s="2452">
        <v>45</v>
      </c>
      <c r="D3148" s="2452">
        <v>3470500.1316312598</v>
      </c>
      <c r="E3148" s="2453">
        <v>1012110.03783849</v>
      </c>
      <c r="F3148" s="2454">
        <v>0.51991493303213498</v>
      </c>
      <c r="G3148" s="2455">
        <v>0.14078396637336199</v>
      </c>
    </row>
    <row r="3149" spans="1:7" x14ac:dyDescent="0.3">
      <c r="A3149" s="6" t="s">
        <v>1031</v>
      </c>
      <c r="B3149" s="6"/>
      <c r="C3149" s="2448">
        <v>41</v>
      </c>
      <c r="D3149" s="2448">
        <v>3261674.1073276298</v>
      </c>
      <c r="E3149" s="2449">
        <v>1093175.0719325501</v>
      </c>
      <c r="F3149" s="2450">
        <v>0.48863074795125</v>
      </c>
      <c r="G3149" s="2451">
        <v>0.15463099729497701</v>
      </c>
    </row>
    <row r="3150" spans="1:7" x14ac:dyDescent="0.3">
      <c r="A3150" s="11" t="s">
        <v>1069</v>
      </c>
      <c r="B3150" s="11"/>
      <c r="C3150" s="2452">
        <v>32</v>
      </c>
      <c r="D3150" s="2452">
        <v>3204029.59994352</v>
      </c>
      <c r="E3150" s="2453">
        <v>1451960.3109329699</v>
      </c>
      <c r="F3150" s="2454">
        <v>0.47999503578886599</v>
      </c>
      <c r="G3150" s="2455">
        <v>0.21787854819182501</v>
      </c>
    </row>
    <row r="3151" spans="1:7" x14ac:dyDescent="0.3">
      <c r="A3151" s="6" t="s">
        <v>1122</v>
      </c>
      <c r="B3151" s="6"/>
      <c r="C3151" s="2448">
        <v>36</v>
      </c>
      <c r="D3151" s="2448">
        <v>3148329.9226803202</v>
      </c>
      <c r="E3151" s="2449">
        <v>997522.01430870895</v>
      </c>
      <c r="F3151" s="2450">
        <v>0.47165067823928303</v>
      </c>
      <c r="G3151" s="2451">
        <v>0.14632461626985799</v>
      </c>
    </row>
    <row r="3152" spans="1:7" x14ac:dyDescent="0.3">
      <c r="A3152" s="11" t="s">
        <v>3254</v>
      </c>
      <c r="B3152" s="11"/>
      <c r="C3152" s="2452">
        <v>27</v>
      </c>
      <c r="D3152" s="2452">
        <v>3084163.2499196301</v>
      </c>
      <c r="E3152" s="2453">
        <v>1677012.06375794</v>
      </c>
      <c r="F3152" s="2454">
        <v>0.46203788178173399</v>
      </c>
      <c r="G3152" s="2455">
        <v>0.25088950788730002</v>
      </c>
    </row>
    <row r="3153" spans="1:7" x14ac:dyDescent="0.3">
      <c r="A3153" s="6" t="s">
        <v>3105</v>
      </c>
      <c r="B3153" s="6"/>
      <c r="C3153" s="2448">
        <v>41</v>
      </c>
      <c r="D3153" s="2448">
        <v>3049306.6178126</v>
      </c>
      <c r="E3153" s="2449">
        <v>1375384.4857312799</v>
      </c>
      <c r="F3153" s="2450">
        <v>0.45681601667287502</v>
      </c>
      <c r="G3153" s="2451">
        <v>0.198820668779598</v>
      </c>
    </row>
    <row r="3154" spans="1:7" x14ac:dyDescent="0.3">
      <c r="A3154" s="11" t="s">
        <v>1118</v>
      </c>
      <c r="B3154" s="11"/>
      <c r="C3154" s="2452">
        <v>38</v>
      </c>
      <c r="D3154" s="2452">
        <v>2965515.6173357698</v>
      </c>
      <c r="E3154" s="2453">
        <v>816905.15020891698</v>
      </c>
      <c r="F3154" s="2454">
        <v>0.44426330359139599</v>
      </c>
      <c r="G3154" s="2455">
        <v>0.12754102930029099</v>
      </c>
    </row>
    <row r="3155" spans="1:7" x14ac:dyDescent="0.3">
      <c r="A3155" s="6" t="s">
        <v>1136</v>
      </c>
      <c r="B3155" s="6"/>
      <c r="C3155" s="2448">
        <v>36</v>
      </c>
      <c r="D3155" s="2448">
        <v>2931559.92259251</v>
      </c>
      <c r="E3155" s="2449">
        <v>1631025.0594251</v>
      </c>
      <c r="F3155" s="2450">
        <v>0.439176407729442</v>
      </c>
      <c r="G3155" s="2451">
        <v>0.24261266976311999</v>
      </c>
    </row>
    <row r="3156" spans="1:7" x14ac:dyDescent="0.3">
      <c r="A3156" s="11" t="s">
        <v>1065</v>
      </c>
      <c r="B3156" s="11"/>
      <c r="C3156" s="2452">
        <v>40</v>
      </c>
      <c r="D3156" s="2452">
        <v>2923769.4052763502</v>
      </c>
      <c r="E3156" s="2453">
        <v>548524.24907482695</v>
      </c>
      <c r="F3156" s="2454">
        <v>0.43800931188299702</v>
      </c>
      <c r="G3156" s="2455">
        <v>8.1390363865529405E-2</v>
      </c>
    </row>
    <row r="3157" spans="1:7" x14ac:dyDescent="0.3">
      <c r="A3157" s="6" t="s">
        <v>3250</v>
      </c>
      <c r="B3157" s="6"/>
      <c r="C3157" s="2448">
        <v>41</v>
      </c>
      <c r="D3157" s="2448">
        <v>2836006.49261154</v>
      </c>
      <c r="E3157" s="2449">
        <v>776038.58880143496</v>
      </c>
      <c r="F3157" s="2450">
        <v>0.42486156742825698</v>
      </c>
      <c r="G3157" s="2451">
        <v>0.112459835638943</v>
      </c>
    </row>
    <row r="3158" spans="1:7" x14ac:dyDescent="0.3">
      <c r="A3158" s="11" t="s">
        <v>1025</v>
      </c>
      <c r="B3158" s="11"/>
      <c r="C3158" s="2452">
        <v>43</v>
      </c>
      <c r="D3158" s="2452">
        <v>2789738.2801455399</v>
      </c>
      <c r="E3158" s="2453">
        <v>810946.72963222396</v>
      </c>
      <c r="F3158" s="2454">
        <v>0.41793013574020399</v>
      </c>
      <c r="G3158" s="2455">
        <v>0.11420105648935699</v>
      </c>
    </row>
    <row r="3159" spans="1:7" x14ac:dyDescent="0.3">
      <c r="A3159" s="6" t="s">
        <v>3144</v>
      </c>
      <c r="B3159" s="6"/>
      <c r="C3159" s="2448">
        <v>29</v>
      </c>
      <c r="D3159" s="2448">
        <v>2725711.0253167101</v>
      </c>
      <c r="E3159" s="2449">
        <v>1084134.72999583</v>
      </c>
      <c r="F3159" s="2450">
        <v>0.40833822545524201</v>
      </c>
      <c r="G3159" s="2451">
        <v>0.16182579796597499</v>
      </c>
    </row>
    <row r="3160" spans="1:7" x14ac:dyDescent="0.3">
      <c r="A3160" s="11" t="s">
        <v>3130</v>
      </c>
      <c r="B3160" s="11"/>
      <c r="C3160" s="2452">
        <v>42</v>
      </c>
      <c r="D3160" s="2452">
        <v>2696967.3255142202</v>
      </c>
      <c r="E3160" s="2453">
        <v>566080.86832953</v>
      </c>
      <c r="F3160" s="2454">
        <v>0.40403213751658901</v>
      </c>
      <c r="G3160" s="2455">
        <v>9.3674707366397006E-2</v>
      </c>
    </row>
    <row r="3161" spans="1:7" x14ac:dyDescent="0.3">
      <c r="A3161" s="6" t="s">
        <v>1140</v>
      </c>
      <c r="B3161" s="6"/>
      <c r="C3161" s="2448">
        <v>33</v>
      </c>
      <c r="D3161" s="2448">
        <v>2674511.0386216999</v>
      </c>
      <c r="E3161" s="2449">
        <v>603988.002111724</v>
      </c>
      <c r="F3161" s="2450">
        <v>0.400667965652868</v>
      </c>
      <c r="G3161" s="2451">
        <v>9.7104102540439802E-2</v>
      </c>
    </row>
    <row r="3162" spans="1:7" x14ac:dyDescent="0.3">
      <c r="A3162" s="11" t="s">
        <v>3103</v>
      </c>
      <c r="B3162" s="11"/>
      <c r="C3162" s="2452">
        <v>39</v>
      </c>
      <c r="D3162" s="2452">
        <v>2519293.1319683101</v>
      </c>
      <c r="E3162" s="2453">
        <v>1428100.48553737</v>
      </c>
      <c r="F3162" s="2454">
        <v>0.37741480199280703</v>
      </c>
      <c r="G3162" s="2455">
        <v>0.20921248763787301</v>
      </c>
    </row>
    <row r="3163" spans="1:7" x14ac:dyDescent="0.3">
      <c r="A3163" s="6" t="s">
        <v>1114</v>
      </c>
      <c r="B3163" s="6"/>
      <c r="C3163" s="2448">
        <v>31</v>
      </c>
      <c r="D3163" s="2448">
        <v>2404668.3408376002</v>
      </c>
      <c r="E3163" s="2449">
        <v>764465.62299474899</v>
      </c>
      <c r="F3163" s="2450">
        <v>0.36024288487879302</v>
      </c>
      <c r="G3163" s="2451">
        <v>0.113913602366471</v>
      </c>
    </row>
    <row r="3164" spans="1:7" x14ac:dyDescent="0.3">
      <c r="A3164" s="11" t="s">
        <v>1120</v>
      </c>
      <c r="B3164" s="11"/>
      <c r="C3164" s="2452">
        <v>13</v>
      </c>
      <c r="D3164" s="2452">
        <v>2381143.8743492598</v>
      </c>
      <c r="E3164" s="2453">
        <v>752931.15530964604</v>
      </c>
      <c r="F3164" s="2454">
        <v>0.35671868924271499</v>
      </c>
      <c r="G3164" s="2455">
        <v>0.110814292480438</v>
      </c>
    </row>
    <row r="3165" spans="1:7" x14ac:dyDescent="0.3">
      <c r="A3165" s="6" t="s">
        <v>1134</v>
      </c>
      <c r="B3165" s="6"/>
      <c r="C3165" s="2448">
        <v>36</v>
      </c>
      <c r="D3165" s="2448">
        <v>2372191.8437857898</v>
      </c>
      <c r="E3165" s="2449">
        <v>551426.53443719901</v>
      </c>
      <c r="F3165" s="2450">
        <v>0.35537758732818497</v>
      </c>
      <c r="G3165" s="2451">
        <v>7.5790384782495696E-2</v>
      </c>
    </row>
    <row r="3166" spans="1:7" x14ac:dyDescent="0.3">
      <c r="A3166" s="11" t="s">
        <v>1081</v>
      </c>
      <c r="B3166" s="11"/>
      <c r="C3166" s="2452">
        <v>27</v>
      </c>
      <c r="D3166" s="2452">
        <v>2348590.40817344</v>
      </c>
      <c r="E3166" s="2453">
        <v>774868.957632476</v>
      </c>
      <c r="F3166" s="2454">
        <v>0.35184186096297898</v>
      </c>
      <c r="G3166" s="2455">
        <v>0.116404830006986</v>
      </c>
    </row>
    <row r="3167" spans="1:7" x14ac:dyDescent="0.3">
      <c r="A3167" s="6" t="s">
        <v>3136</v>
      </c>
      <c r="B3167" s="6"/>
      <c r="C3167" s="2448">
        <v>23</v>
      </c>
      <c r="D3167" s="2448">
        <v>2310317.0363419801</v>
      </c>
      <c r="E3167" s="2449">
        <v>679054.40091524099</v>
      </c>
      <c r="F3167" s="2450">
        <v>0.34610813475697699</v>
      </c>
      <c r="G3167" s="2451">
        <v>9.5074304643880503E-2</v>
      </c>
    </row>
    <row r="3168" spans="1:7" x14ac:dyDescent="0.3">
      <c r="A3168" s="11" t="s">
        <v>1132</v>
      </c>
      <c r="B3168" s="11"/>
      <c r="C3168" s="2452">
        <v>37</v>
      </c>
      <c r="D3168" s="2452">
        <v>2308609.33417725</v>
      </c>
      <c r="E3168" s="2453">
        <v>776768.32229244395</v>
      </c>
      <c r="F3168" s="2454">
        <v>0.34585230423603303</v>
      </c>
      <c r="G3168" s="2455">
        <v>0.11883623909925201</v>
      </c>
    </row>
    <row r="3169" spans="1:7" x14ac:dyDescent="0.3">
      <c r="A3169" s="6" t="s">
        <v>1027</v>
      </c>
      <c r="B3169" s="6"/>
      <c r="C3169" s="2448">
        <v>27</v>
      </c>
      <c r="D3169" s="2448">
        <v>2281918.65537492</v>
      </c>
      <c r="E3169" s="2449">
        <v>520462.66102674499</v>
      </c>
      <c r="F3169" s="2450">
        <v>0.34185377896423702</v>
      </c>
      <c r="G3169" s="2451">
        <v>8.2378572943455297E-2</v>
      </c>
    </row>
    <row r="3170" spans="1:7" x14ac:dyDescent="0.3">
      <c r="A3170" s="11" t="s">
        <v>3116</v>
      </c>
      <c r="B3170" s="11"/>
      <c r="C3170" s="2452">
        <v>26</v>
      </c>
      <c r="D3170" s="2452">
        <v>2183514.91637062</v>
      </c>
      <c r="E3170" s="2453">
        <v>629353.02898957499</v>
      </c>
      <c r="F3170" s="2454">
        <v>0.32711193443634701</v>
      </c>
      <c r="G3170" s="2455">
        <v>9.0743074233540597E-2</v>
      </c>
    </row>
    <row r="3171" spans="1:7" x14ac:dyDescent="0.3">
      <c r="A3171" s="6" t="s">
        <v>1142</v>
      </c>
      <c r="B3171" s="6"/>
      <c r="C3171" s="2448">
        <v>28</v>
      </c>
      <c r="D3171" s="2448">
        <v>1971438.59008891</v>
      </c>
      <c r="E3171" s="2449">
        <v>715436.08009329101</v>
      </c>
      <c r="F3171" s="2450">
        <v>0.295340822263926</v>
      </c>
      <c r="G3171" s="2451">
        <v>0.107388132016443</v>
      </c>
    </row>
    <row r="3172" spans="1:7" x14ac:dyDescent="0.3">
      <c r="A3172" s="11" t="s">
        <v>1130</v>
      </c>
      <c r="B3172" s="11"/>
      <c r="C3172" s="2452">
        <v>23</v>
      </c>
      <c r="D3172" s="2452">
        <v>1947633.3363246</v>
      </c>
      <c r="E3172" s="2453">
        <v>867926.36505791498</v>
      </c>
      <c r="F3172" s="2454">
        <v>0.29177456194199802</v>
      </c>
      <c r="G3172" s="2455">
        <v>0.12916516837855799</v>
      </c>
    </row>
    <row r="3173" spans="1:7" x14ac:dyDescent="0.3">
      <c r="A3173" s="6" t="s">
        <v>1128</v>
      </c>
      <c r="B3173" s="6"/>
      <c r="C3173" s="2448">
        <v>25</v>
      </c>
      <c r="D3173" s="2448">
        <v>1921145.9141645799</v>
      </c>
      <c r="E3173" s="2449">
        <v>1103111.0800628699</v>
      </c>
      <c r="F3173" s="2450">
        <v>0.28780648650727803</v>
      </c>
      <c r="G3173" s="2451">
        <v>0.16034391633749601</v>
      </c>
    </row>
    <row r="3174" spans="1:7" x14ac:dyDescent="0.3">
      <c r="A3174" s="11" t="s">
        <v>3107</v>
      </c>
      <c r="B3174" s="11"/>
      <c r="C3174" s="2452">
        <v>27</v>
      </c>
      <c r="D3174" s="2452">
        <v>1879108.93293424</v>
      </c>
      <c r="E3174" s="2453">
        <v>642499.73058925499</v>
      </c>
      <c r="F3174" s="2454">
        <v>0.28150893472733401</v>
      </c>
      <c r="G3174" s="2455">
        <v>9.8144528291101693E-2</v>
      </c>
    </row>
    <row r="3175" spans="1:7" x14ac:dyDescent="0.3">
      <c r="A3175" s="6" t="s">
        <v>3101</v>
      </c>
      <c r="B3175" s="6"/>
      <c r="C3175" s="2448">
        <v>41</v>
      </c>
      <c r="D3175" s="2448">
        <v>1762419.9774889799</v>
      </c>
      <c r="E3175" s="2449">
        <v>286427.91167407198</v>
      </c>
      <c r="F3175" s="2450">
        <v>0.264027785568756</v>
      </c>
      <c r="G3175" s="2451">
        <v>3.7843706326837798E-2</v>
      </c>
    </row>
    <row r="3176" spans="1:7" x14ac:dyDescent="0.3">
      <c r="A3176" s="11" t="s">
        <v>1138</v>
      </c>
      <c r="B3176" s="11"/>
      <c r="C3176" s="2452">
        <v>21</v>
      </c>
      <c r="D3176" s="2452">
        <v>1586358.3520822099</v>
      </c>
      <c r="E3176" s="2453">
        <v>728197.49115003401</v>
      </c>
      <c r="F3176" s="2454">
        <v>0.237652028556506</v>
      </c>
      <c r="G3176" s="2455">
        <v>0.10584193022955</v>
      </c>
    </row>
    <row r="3177" spans="1:7" x14ac:dyDescent="0.3">
      <c r="A3177" s="6" t="s">
        <v>1144</v>
      </c>
      <c r="B3177" s="6"/>
      <c r="C3177" s="2448">
        <v>30</v>
      </c>
      <c r="D3177" s="2448">
        <v>1561588.5544130299</v>
      </c>
      <c r="E3177" s="2449">
        <v>273241.340574837</v>
      </c>
      <c r="F3177" s="2450">
        <v>0.233941270104426</v>
      </c>
      <c r="G3177" s="2451">
        <v>3.5756716520144199E-2</v>
      </c>
    </row>
    <row r="3178" spans="1:7" x14ac:dyDescent="0.3">
      <c r="A3178" s="11" t="s">
        <v>3122</v>
      </c>
      <c r="B3178" s="11"/>
      <c r="C3178" s="2452">
        <v>18</v>
      </c>
      <c r="D3178" s="2452">
        <v>1461899.6676626101</v>
      </c>
      <c r="E3178" s="2453">
        <v>467269.31450287899</v>
      </c>
      <c r="F3178" s="2454">
        <v>0.21900689784882599</v>
      </c>
      <c r="G3178" s="2455">
        <v>7.5902194799519596E-2</v>
      </c>
    </row>
    <row r="3179" spans="1:7" x14ac:dyDescent="0.3">
      <c r="A3179" s="6" t="s">
        <v>1061</v>
      </c>
      <c r="B3179" s="6"/>
      <c r="C3179" s="2448">
        <v>20</v>
      </c>
      <c r="D3179" s="2448">
        <v>830994.143534414</v>
      </c>
      <c r="E3179" s="2449">
        <v>241622.23328908801</v>
      </c>
      <c r="F3179" s="2450">
        <v>0.124491067021719</v>
      </c>
      <c r="G3179" s="2451">
        <v>3.3359290568627797E-2</v>
      </c>
    </row>
    <row r="3180" spans="1:7" x14ac:dyDescent="0.3">
      <c r="A3180" s="11" t="s">
        <v>6354</v>
      </c>
      <c r="B3180" s="11" t="s">
        <v>6355</v>
      </c>
      <c r="C3180" s="2452">
        <v>7515</v>
      </c>
      <c r="D3180" s="2452">
        <v>667513070.14618003</v>
      </c>
      <c r="E3180" s="2453">
        <v>23529830.745544098</v>
      </c>
      <c r="F3180" s="2454">
        <v>100</v>
      </c>
      <c r="G3180" s="2455">
        <v>1.02786679142825E-14</v>
      </c>
    </row>
    <row r="3181" spans="1:7" x14ac:dyDescent="0.3">
      <c r="A3181" s="6" t="s">
        <v>6354</v>
      </c>
      <c r="B3181" s="6" t="s">
        <v>6356</v>
      </c>
      <c r="C3181" s="2448">
        <v>7515</v>
      </c>
      <c r="D3181" s="2448">
        <v>667513070.14618003</v>
      </c>
      <c r="E3181" s="2449">
        <v>0</v>
      </c>
      <c r="F3181" s="2450">
        <v>100</v>
      </c>
      <c r="G3181" s="2451">
        <v>0</v>
      </c>
    </row>
    <row r="3182" spans="1:7" x14ac:dyDescent="0.3">
      <c r="A3182" s="3449" t="s">
        <v>173</v>
      </c>
      <c r="B3182" s="3450"/>
      <c r="C3182" s="3450"/>
      <c r="D3182" s="3450"/>
      <c r="E3182" s="3450"/>
      <c r="F3182" s="3450"/>
      <c r="G3182" s="3450"/>
    </row>
    <row r="3183" spans="1:7" x14ac:dyDescent="0.3">
      <c r="A3183" s="11" t="s">
        <v>6471</v>
      </c>
      <c r="B3183" s="11"/>
      <c r="C3183" s="2460">
        <v>4833</v>
      </c>
      <c r="D3183" s="2460">
        <v>422554882.72539902</v>
      </c>
      <c r="E3183" s="2461">
        <v>20200051.395403199</v>
      </c>
      <c r="F3183" s="2462">
        <v>63.3028627638503</v>
      </c>
      <c r="G3183" s="2463">
        <v>0.931903510012143</v>
      </c>
    </row>
    <row r="3184" spans="1:7" x14ac:dyDescent="0.3">
      <c r="A3184" s="6" t="s">
        <v>6470</v>
      </c>
      <c r="B3184" s="6"/>
      <c r="C3184" s="2456">
        <v>2682</v>
      </c>
      <c r="D3184" s="2456">
        <v>244958187.42077899</v>
      </c>
      <c r="E3184" s="2457">
        <v>5233352.04531541</v>
      </c>
      <c r="F3184" s="2458">
        <v>36.6971372361497</v>
      </c>
      <c r="G3184" s="2459">
        <v>0.931903510012139</v>
      </c>
    </row>
    <row r="3185" spans="1:7" x14ac:dyDescent="0.3">
      <c r="A3185" s="11" t="s">
        <v>6354</v>
      </c>
      <c r="B3185" s="11" t="s">
        <v>6355</v>
      </c>
      <c r="C3185" s="2460">
        <v>7515</v>
      </c>
      <c r="D3185" s="2460">
        <v>667513070.14617801</v>
      </c>
      <c r="E3185" s="2461">
        <v>23529830.745544199</v>
      </c>
      <c r="F3185" s="2462">
        <v>100</v>
      </c>
      <c r="G3185" s="2463">
        <v>2.0557335828564899E-14</v>
      </c>
    </row>
    <row r="3186" spans="1:7" x14ac:dyDescent="0.3">
      <c r="A3186" s="6" t="s">
        <v>6354</v>
      </c>
      <c r="B3186" s="6" t="s">
        <v>6356</v>
      </c>
      <c r="C3186" s="2456">
        <v>7515</v>
      </c>
      <c r="D3186" s="2456">
        <v>667513070.14617801</v>
      </c>
      <c r="E3186" s="2457">
        <v>0</v>
      </c>
      <c r="F3186" s="2458">
        <v>100</v>
      </c>
      <c r="G3186" s="2459">
        <v>0</v>
      </c>
    </row>
    <row r="3187" spans="1:7" x14ac:dyDescent="0.3">
      <c r="A3187" s="3449" t="s">
        <v>831</v>
      </c>
      <c r="B3187" s="3450"/>
      <c r="C3187" s="3450"/>
      <c r="D3187" s="3450"/>
      <c r="E3187" s="3450"/>
      <c r="F3187" s="3450"/>
      <c r="G3187" s="3450"/>
    </row>
    <row r="3188" spans="1:7" x14ac:dyDescent="0.3">
      <c r="A3188" s="11" t="s">
        <v>1044</v>
      </c>
      <c r="B3188" s="11" t="s">
        <v>1045</v>
      </c>
      <c r="C3188" s="2468">
        <v>6</v>
      </c>
      <c r="D3188" s="2468">
        <v>516728.74593746598</v>
      </c>
      <c r="E3188" s="2469">
        <v>342927.98055045202</v>
      </c>
      <c r="F3188" s="2470">
        <v>100</v>
      </c>
      <c r="G3188" s="2471">
        <v>0</v>
      </c>
    </row>
    <row r="3189" spans="1:7" x14ac:dyDescent="0.3">
      <c r="A3189" s="6" t="s">
        <v>6354</v>
      </c>
      <c r="B3189" s="6" t="s">
        <v>6355</v>
      </c>
      <c r="C3189" s="2464">
        <v>7496</v>
      </c>
      <c r="D3189" s="2464">
        <v>666996341.40024304</v>
      </c>
      <c r="E3189" s="2465">
        <v>23462261.922988102</v>
      </c>
      <c r="F3189" s="2466">
        <v>99.922588969557694</v>
      </c>
      <c r="G3189" s="2467">
        <v>5.0523414342887797E-2</v>
      </c>
    </row>
    <row r="3190" spans="1:7" x14ac:dyDescent="0.3">
      <c r="A3190" s="11" t="s">
        <v>6354</v>
      </c>
      <c r="B3190" s="11" t="s">
        <v>6356</v>
      </c>
      <c r="C3190" s="2468">
        <v>7502</v>
      </c>
      <c r="D3190" s="2468">
        <v>667513070.14618003</v>
      </c>
      <c r="E3190" s="2469">
        <v>0</v>
      </c>
      <c r="F3190" s="2470">
        <v>100</v>
      </c>
      <c r="G3190" s="2471">
        <v>0</v>
      </c>
    </row>
    <row r="3191" spans="1:7" x14ac:dyDescent="0.3">
      <c r="A3191" s="3449" t="s">
        <v>818</v>
      </c>
      <c r="B3191" s="3450"/>
      <c r="C3191" s="3450"/>
      <c r="D3191" s="3450"/>
      <c r="E3191" s="3450"/>
      <c r="F3191" s="3450"/>
      <c r="G3191" s="3450"/>
    </row>
    <row r="3192" spans="1:7" x14ac:dyDescent="0.3">
      <c r="A3192" s="11" t="s">
        <v>6354</v>
      </c>
      <c r="B3192" s="11" t="s">
        <v>6355</v>
      </c>
      <c r="C3192" s="2476">
        <v>6622</v>
      </c>
      <c r="D3192" s="2476">
        <v>667513070.14618003</v>
      </c>
      <c r="E3192" s="2477">
        <v>23529830.745544098</v>
      </c>
      <c r="F3192" s="2478">
        <v>100</v>
      </c>
      <c r="G3192" s="2479">
        <v>1.45362315675074E-14</v>
      </c>
    </row>
    <row r="3193" spans="1:7" x14ac:dyDescent="0.3">
      <c r="A3193" s="6" t="s">
        <v>6354</v>
      </c>
      <c r="B3193" s="6" t="s">
        <v>6356</v>
      </c>
      <c r="C3193" s="2472">
        <v>6622</v>
      </c>
      <c r="D3193" s="2472">
        <v>667513070.14618003</v>
      </c>
      <c r="E3193" s="2473">
        <v>0</v>
      </c>
      <c r="F3193" s="2474">
        <v>100</v>
      </c>
      <c r="G3193" s="2475">
        <v>0</v>
      </c>
    </row>
    <row r="3194" spans="1:7" x14ac:dyDescent="0.3">
      <c r="A3194" s="3449" t="s">
        <v>816</v>
      </c>
      <c r="B3194" s="3450"/>
      <c r="C3194" s="3450"/>
      <c r="D3194" s="3450"/>
      <c r="E3194" s="3450"/>
      <c r="F3194" s="3450"/>
      <c r="G3194" s="3450"/>
    </row>
    <row r="3195" spans="1:7" x14ac:dyDescent="0.3">
      <c r="A3195" s="11" t="s">
        <v>1044</v>
      </c>
      <c r="B3195" s="11" t="s">
        <v>1045</v>
      </c>
      <c r="C3195" s="2484">
        <v>7</v>
      </c>
      <c r="D3195" s="2484">
        <v>1134957.23182484</v>
      </c>
      <c r="E3195" s="2485">
        <v>702812.23632796004</v>
      </c>
      <c r="F3195" s="2486">
        <v>100</v>
      </c>
      <c r="G3195" s="2487">
        <v>0</v>
      </c>
    </row>
    <row r="3196" spans="1:7" x14ac:dyDescent="0.3">
      <c r="A3196" s="6" t="s">
        <v>6354</v>
      </c>
      <c r="B3196" s="6" t="s">
        <v>6355</v>
      </c>
      <c r="C3196" s="2480">
        <v>6612</v>
      </c>
      <c r="D3196" s="2480">
        <v>666378112.91435599</v>
      </c>
      <c r="E3196" s="2481">
        <v>23888017.3230718</v>
      </c>
      <c r="F3196" s="2482">
        <v>99.829972283302794</v>
      </c>
      <c r="G3196" s="2483">
        <v>0.10856514869756501</v>
      </c>
    </row>
    <row r="3197" spans="1:7" x14ac:dyDescent="0.3">
      <c r="A3197" s="11" t="s">
        <v>6354</v>
      </c>
      <c r="B3197" s="11" t="s">
        <v>6356</v>
      </c>
      <c r="C3197" s="2484">
        <v>6619</v>
      </c>
      <c r="D3197" s="2484">
        <v>667513070.14618003</v>
      </c>
      <c r="E3197" s="2485">
        <v>0</v>
      </c>
      <c r="F3197" s="2486">
        <v>100</v>
      </c>
      <c r="G3197" s="2487">
        <v>0</v>
      </c>
    </row>
    <row r="3198" spans="1:7" x14ac:dyDescent="0.3">
      <c r="A3198" s="3449" t="s">
        <v>947</v>
      </c>
      <c r="B3198" s="3450"/>
      <c r="C3198" s="3450"/>
      <c r="D3198" s="3450"/>
      <c r="E3198" s="3450"/>
      <c r="F3198" s="3450"/>
      <c r="G3198" s="3450"/>
    </row>
    <row r="3199" spans="1:7" x14ac:dyDescent="0.3">
      <c r="A3199" s="11" t="s">
        <v>1021</v>
      </c>
      <c r="B3199" s="11"/>
      <c r="C3199" s="2492">
        <v>45</v>
      </c>
      <c r="D3199" s="2492">
        <v>5297460.3216340896</v>
      </c>
      <c r="E3199" s="2493">
        <v>1687617.8757256099</v>
      </c>
      <c r="F3199" s="2494">
        <v>31.983548046625099</v>
      </c>
      <c r="G3199" s="2495">
        <v>8.0824734430353402</v>
      </c>
    </row>
    <row r="3200" spans="1:7" x14ac:dyDescent="0.3">
      <c r="A3200" s="6" t="s">
        <v>1023</v>
      </c>
      <c r="B3200" s="6"/>
      <c r="C3200" s="2488">
        <v>34</v>
      </c>
      <c r="D3200" s="2488">
        <v>2600225.9301152099</v>
      </c>
      <c r="E3200" s="2489">
        <v>775646.21408586204</v>
      </c>
      <c r="F3200" s="2490">
        <v>15.6989285277491</v>
      </c>
      <c r="G3200" s="2491">
        <v>4.6328296746377502</v>
      </c>
    </row>
    <row r="3201" spans="1:7" x14ac:dyDescent="0.3">
      <c r="A3201" s="11" t="s">
        <v>1025</v>
      </c>
      <c r="B3201" s="11"/>
      <c r="C3201" s="2492">
        <v>17</v>
      </c>
      <c r="D3201" s="2492">
        <v>2362096.4012242402</v>
      </c>
      <c r="E3201" s="2493">
        <v>948336.53842150199</v>
      </c>
      <c r="F3201" s="2494">
        <v>14.261215592458001</v>
      </c>
      <c r="G3201" s="2495">
        <v>4.7645892047215899</v>
      </c>
    </row>
    <row r="3202" spans="1:7" x14ac:dyDescent="0.3">
      <c r="A3202" s="6" t="s">
        <v>6598</v>
      </c>
      <c r="B3202" s="6"/>
      <c r="C3202" s="2488">
        <v>27</v>
      </c>
      <c r="D3202" s="2488">
        <v>1835977.2605811199</v>
      </c>
      <c r="E3202" s="2489">
        <v>1307319.95345346</v>
      </c>
      <c r="F3202" s="2490">
        <v>11.0847582352809</v>
      </c>
      <c r="G3202" s="2491">
        <v>7.9221632531522603</v>
      </c>
    </row>
    <row r="3203" spans="1:7" x14ac:dyDescent="0.3">
      <c r="A3203" s="11" t="s">
        <v>1027</v>
      </c>
      <c r="B3203" s="11"/>
      <c r="C3203" s="2492">
        <v>11</v>
      </c>
      <c r="D3203" s="2492">
        <v>620644.99158138805</v>
      </c>
      <c r="E3203" s="2493">
        <v>339718.678694489</v>
      </c>
      <c r="F3203" s="2494">
        <v>3.7471595260608499</v>
      </c>
      <c r="G3203" s="2495">
        <v>2.0563942522670202</v>
      </c>
    </row>
    <row r="3204" spans="1:7" x14ac:dyDescent="0.3">
      <c r="A3204" s="6" t="s">
        <v>1029</v>
      </c>
      <c r="B3204" s="6"/>
      <c r="C3204" s="2488">
        <v>5</v>
      </c>
      <c r="D3204" s="2488">
        <v>573775.05438902904</v>
      </c>
      <c r="E3204" s="2489">
        <v>282692.61616747302</v>
      </c>
      <c r="F3204" s="2490">
        <v>3.4641811180844599</v>
      </c>
      <c r="G3204" s="2491">
        <v>1.70439286593813</v>
      </c>
    </row>
    <row r="3205" spans="1:7" x14ac:dyDescent="0.3">
      <c r="A3205" s="11" t="s">
        <v>6599</v>
      </c>
      <c r="B3205" s="11"/>
      <c r="C3205" s="2492">
        <v>6</v>
      </c>
      <c r="D3205" s="2492">
        <v>428562.57144280401</v>
      </c>
      <c r="E3205" s="2493">
        <v>196643.47958263801</v>
      </c>
      <c r="F3205" s="2494">
        <v>2.5874571516371501</v>
      </c>
      <c r="G3205" s="2495">
        <v>1.2558004605909701</v>
      </c>
    </row>
    <row r="3206" spans="1:7" x14ac:dyDescent="0.3">
      <c r="A3206" s="6" t="s">
        <v>1073</v>
      </c>
      <c r="B3206" s="6"/>
      <c r="C3206" s="2488">
        <v>1</v>
      </c>
      <c r="D3206" s="2488">
        <v>346217.05624128401</v>
      </c>
      <c r="E3206" s="2489">
        <v>385679.50222547201</v>
      </c>
      <c r="F3206" s="2490">
        <v>2.0902940617851602</v>
      </c>
      <c r="G3206" s="2491">
        <v>2.4032326164981099</v>
      </c>
    </row>
    <row r="3207" spans="1:7" x14ac:dyDescent="0.3">
      <c r="A3207" s="11" t="s">
        <v>3099</v>
      </c>
      <c r="B3207" s="11"/>
      <c r="C3207" s="2492">
        <v>1</v>
      </c>
      <c r="D3207" s="2492">
        <v>346217.05624128401</v>
      </c>
      <c r="E3207" s="2493">
        <v>385679.50222547201</v>
      </c>
      <c r="F3207" s="2494">
        <v>2.0902940617851602</v>
      </c>
      <c r="G3207" s="2495">
        <v>2.4032326164981099</v>
      </c>
    </row>
    <row r="3208" spans="1:7" x14ac:dyDescent="0.3">
      <c r="A3208" s="6" t="s">
        <v>6600</v>
      </c>
      <c r="B3208" s="6"/>
      <c r="C3208" s="2488">
        <v>3</v>
      </c>
      <c r="D3208" s="2488">
        <v>202889.82364089199</v>
      </c>
      <c r="E3208" s="2489">
        <v>205625.379592143</v>
      </c>
      <c r="F3208" s="2490">
        <v>1.2249523410470899</v>
      </c>
      <c r="G3208" s="2491">
        <v>1.28693937341561</v>
      </c>
    </row>
    <row r="3209" spans="1:7" x14ac:dyDescent="0.3">
      <c r="A3209" s="11" t="s">
        <v>1219</v>
      </c>
      <c r="B3209" s="11"/>
      <c r="C3209" s="2492">
        <v>1</v>
      </c>
      <c r="D3209" s="2492">
        <v>202519.25465480701</v>
      </c>
      <c r="E3209" s="2493">
        <v>211957.84123217899</v>
      </c>
      <c r="F3209" s="2494">
        <v>1.22271502160505</v>
      </c>
      <c r="G3209" s="2495">
        <v>1.30061188668704</v>
      </c>
    </row>
    <row r="3210" spans="1:7" x14ac:dyDescent="0.3">
      <c r="A3210" s="6" t="s">
        <v>1042</v>
      </c>
      <c r="B3210" s="6"/>
      <c r="C3210" s="2488">
        <v>2</v>
      </c>
      <c r="D3210" s="2488">
        <v>201662.57783721201</v>
      </c>
      <c r="E3210" s="2489">
        <v>205783.62216313099</v>
      </c>
      <c r="F3210" s="2490">
        <v>1.2175428140768401</v>
      </c>
      <c r="G3210" s="2491">
        <v>1.2964630996109101</v>
      </c>
    </row>
    <row r="3211" spans="1:7" x14ac:dyDescent="0.3">
      <c r="A3211" s="11" t="s">
        <v>6601</v>
      </c>
      <c r="B3211" s="11"/>
      <c r="C3211" s="2492">
        <v>1</v>
      </c>
      <c r="D3211" s="2492">
        <v>188080.38918877</v>
      </c>
      <c r="E3211" s="2493">
        <v>196123.99575897999</v>
      </c>
      <c r="F3211" s="2494">
        <v>1.1355400133306499</v>
      </c>
      <c r="G3211" s="2495">
        <v>1.2129964483264299</v>
      </c>
    </row>
    <row r="3212" spans="1:7" x14ac:dyDescent="0.3">
      <c r="A3212" s="6" t="s">
        <v>6602</v>
      </c>
      <c r="B3212" s="6"/>
      <c r="C3212" s="2488">
        <v>1</v>
      </c>
      <c r="D3212" s="2488">
        <v>137289.23013522799</v>
      </c>
      <c r="E3212" s="2489">
        <v>136761.92251338399</v>
      </c>
      <c r="F3212" s="2490">
        <v>0.82888713113754098</v>
      </c>
      <c r="G3212" s="2491">
        <v>0.83936457877907</v>
      </c>
    </row>
    <row r="3213" spans="1:7" x14ac:dyDescent="0.3">
      <c r="A3213" s="11" t="s">
        <v>6603</v>
      </c>
      <c r="B3213" s="11"/>
      <c r="C3213" s="2492">
        <v>4</v>
      </c>
      <c r="D3213" s="2492">
        <v>127513.320970033</v>
      </c>
      <c r="E3213" s="2493">
        <v>138909.22226880901</v>
      </c>
      <c r="F3213" s="2494">
        <v>0.76986483715120202</v>
      </c>
      <c r="G3213" s="2495">
        <v>0.90137899176075298</v>
      </c>
    </row>
    <row r="3214" spans="1:7" x14ac:dyDescent="0.3">
      <c r="A3214" s="6" t="s">
        <v>6604</v>
      </c>
      <c r="B3214" s="6"/>
      <c r="C3214" s="2488">
        <v>4</v>
      </c>
      <c r="D3214" s="2488">
        <v>120078.45326340001</v>
      </c>
      <c r="E3214" s="2489">
        <v>128222.212777487</v>
      </c>
      <c r="F3214" s="2490">
        <v>0.72497663901892095</v>
      </c>
      <c r="G3214" s="2491">
        <v>0.81433419943770002</v>
      </c>
    </row>
    <row r="3215" spans="1:7" x14ac:dyDescent="0.3">
      <c r="A3215" s="11" t="s">
        <v>1067</v>
      </c>
      <c r="B3215" s="11"/>
      <c r="C3215" s="2492">
        <v>2</v>
      </c>
      <c r="D3215" s="2492">
        <v>118719.883508813</v>
      </c>
      <c r="E3215" s="2493">
        <v>99675.718575198596</v>
      </c>
      <c r="F3215" s="2494">
        <v>0.71677424043877802</v>
      </c>
      <c r="G3215" s="2495">
        <v>0.60542705942544695</v>
      </c>
    </row>
    <row r="3216" spans="1:7" x14ac:dyDescent="0.3">
      <c r="A3216" s="6" t="s">
        <v>1224</v>
      </c>
      <c r="B3216" s="6"/>
      <c r="C3216" s="2488">
        <v>1</v>
      </c>
      <c r="D3216" s="2488">
        <v>114613.027239576</v>
      </c>
      <c r="E3216" s="2489">
        <v>114713.148082168</v>
      </c>
      <c r="F3216" s="2490">
        <v>0.69197899388048201</v>
      </c>
      <c r="G3216" s="2491">
        <v>0.69813133033155605</v>
      </c>
    </row>
    <row r="3217" spans="1:7" x14ac:dyDescent="0.3">
      <c r="A3217" s="11" t="s">
        <v>6605</v>
      </c>
      <c r="B3217" s="11"/>
      <c r="C3217" s="2492">
        <v>2</v>
      </c>
      <c r="D3217" s="2492">
        <v>95472.137269084007</v>
      </c>
      <c r="E3217" s="2493">
        <v>105210.70174434</v>
      </c>
      <c r="F3217" s="2494">
        <v>0.57641539606998404</v>
      </c>
      <c r="G3217" s="2495">
        <v>0.62874231879425502</v>
      </c>
    </row>
    <row r="3218" spans="1:7" x14ac:dyDescent="0.3">
      <c r="A3218" s="6" t="s">
        <v>6606</v>
      </c>
      <c r="B3218" s="6"/>
      <c r="C3218" s="2488">
        <v>2</v>
      </c>
      <c r="D3218" s="2488">
        <v>88901.150045716393</v>
      </c>
      <c r="E3218" s="2489">
        <v>93687.319592825894</v>
      </c>
      <c r="F3218" s="2490">
        <v>0.53674289777602602</v>
      </c>
      <c r="G3218" s="2491">
        <v>0.575868417042803</v>
      </c>
    </row>
    <row r="3219" spans="1:7" x14ac:dyDescent="0.3">
      <c r="A3219" s="11" t="s">
        <v>1031</v>
      </c>
      <c r="B3219" s="11"/>
      <c r="C3219" s="2492">
        <v>2</v>
      </c>
      <c r="D3219" s="2492">
        <v>73439.687722402494</v>
      </c>
      <c r="E3219" s="2493">
        <v>75934.069746222696</v>
      </c>
      <c r="F3219" s="2494">
        <v>0.44339393561971202</v>
      </c>
      <c r="G3219" s="2495">
        <v>0.46892302543557901</v>
      </c>
    </row>
    <row r="3220" spans="1:7" x14ac:dyDescent="0.3">
      <c r="A3220" s="6" t="s">
        <v>6607</v>
      </c>
      <c r="B3220" s="6"/>
      <c r="C3220" s="2488">
        <v>7</v>
      </c>
      <c r="D3220" s="2488">
        <v>70333.393298915995</v>
      </c>
      <c r="E3220" s="2489">
        <v>72887.020314121604</v>
      </c>
      <c r="F3220" s="2490">
        <v>0.424639606014861</v>
      </c>
      <c r="G3220" s="2491">
        <v>0.44780745593365401</v>
      </c>
    </row>
    <row r="3221" spans="1:7" x14ac:dyDescent="0.3">
      <c r="A3221" s="11" t="s">
        <v>6608</v>
      </c>
      <c r="B3221" s="11"/>
      <c r="C3221" s="2492">
        <v>1</v>
      </c>
      <c r="D3221" s="2492">
        <v>62622.750684176397</v>
      </c>
      <c r="E3221" s="2493">
        <v>68050.927651674298</v>
      </c>
      <c r="F3221" s="2494">
        <v>0.37808641003683002</v>
      </c>
      <c r="G3221" s="2495">
        <v>0.42777651096166802</v>
      </c>
    </row>
    <row r="3222" spans="1:7" x14ac:dyDescent="0.3">
      <c r="A3222" s="6" t="s">
        <v>6609</v>
      </c>
      <c r="B3222" s="6"/>
      <c r="C3222" s="2488">
        <v>1</v>
      </c>
      <c r="D3222" s="2488">
        <v>61089.474742782601</v>
      </c>
      <c r="E3222" s="2489">
        <v>63123.657396327697</v>
      </c>
      <c r="F3222" s="2490">
        <v>0.36882921852186301</v>
      </c>
      <c r="G3222" s="2491">
        <v>0.38525569619813899</v>
      </c>
    </row>
    <row r="3223" spans="1:7" x14ac:dyDescent="0.3">
      <c r="A3223" s="11" t="s">
        <v>6610</v>
      </c>
      <c r="B3223" s="11"/>
      <c r="C3223" s="2492">
        <v>1</v>
      </c>
      <c r="D3223" s="2492">
        <v>54684.928176328103</v>
      </c>
      <c r="E3223" s="2493">
        <v>57876.118874089298</v>
      </c>
      <c r="F3223" s="2494">
        <v>0.33016160982104698</v>
      </c>
      <c r="G3223" s="2495">
        <v>0.35824681823288201</v>
      </c>
    </row>
    <row r="3224" spans="1:7" x14ac:dyDescent="0.3">
      <c r="A3224" s="6" t="s">
        <v>6611</v>
      </c>
      <c r="B3224" s="6"/>
      <c r="C3224" s="2488">
        <v>3</v>
      </c>
      <c r="D3224" s="2488">
        <v>49095.431283531601</v>
      </c>
      <c r="E3224" s="2489">
        <v>52383.154822846402</v>
      </c>
      <c r="F3224" s="2490">
        <v>0.296414883734749</v>
      </c>
      <c r="G3224" s="2491">
        <v>0.30432049850558601</v>
      </c>
    </row>
    <row r="3225" spans="1:7" x14ac:dyDescent="0.3">
      <c r="A3225" s="11" t="s">
        <v>6612</v>
      </c>
      <c r="B3225" s="11"/>
      <c r="C3225" s="2492">
        <v>1</v>
      </c>
      <c r="D3225" s="2492">
        <v>41195.562889888897</v>
      </c>
      <c r="E3225" s="2493">
        <v>44986.331234946898</v>
      </c>
      <c r="F3225" s="2494">
        <v>0.24871923242458499</v>
      </c>
      <c r="G3225" s="2495">
        <v>0.28791024502741502</v>
      </c>
    </row>
    <row r="3226" spans="1:7" x14ac:dyDescent="0.3">
      <c r="A3226" s="6" t="s">
        <v>6613</v>
      </c>
      <c r="B3226" s="6"/>
      <c r="C3226" s="2488">
        <v>1</v>
      </c>
      <c r="D3226" s="2488">
        <v>38156.070926427601</v>
      </c>
      <c r="E3226" s="2489">
        <v>42630.675679006097</v>
      </c>
      <c r="F3226" s="2490">
        <v>0.230368224328557</v>
      </c>
      <c r="G3226" s="2491">
        <v>0.27316924478346599</v>
      </c>
    </row>
    <row r="3227" spans="1:7" x14ac:dyDescent="0.3">
      <c r="A3227" s="11" t="s">
        <v>1222</v>
      </c>
      <c r="B3227" s="11"/>
      <c r="C3227" s="2492">
        <v>1</v>
      </c>
      <c r="D3227" s="2492">
        <v>30032.845482012999</v>
      </c>
      <c r="E3227" s="2493">
        <v>30348.221057217401</v>
      </c>
      <c r="F3227" s="2494">
        <v>0.18132404928604201</v>
      </c>
      <c r="G3227" s="2495">
        <v>0.18625674679434601</v>
      </c>
    </row>
    <row r="3228" spans="1:7" x14ac:dyDescent="0.3">
      <c r="A3228" s="6" t="s">
        <v>1063</v>
      </c>
      <c r="B3228" s="6"/>
      <c r="C3228" s="2488">
        <v>1</v>
      </c>
      <c r="D3228" s="2488">
        <v>22676.3128793947</v>
      </c>
      <c r="E3228" s="2489">
        <v>24398.6568573521</v>
      </c>
      <c r="F3228" s="2490">
        <v>0.13690880128663299</v>
      </c>
      <c r="G3228" s="2491">
        <v>0.144117011629952</v>
      </c>
    </row>
    <row r="3229" spans="1:7" x14ac:dyDescent="0.3">
      <c r="A3229" s="11" t="s">
        <v>3136</v>
      </c>
      <c r="B3229" s="11"/>
      <c r="C3229" s="2492">
        <v>1</v>
      </c>
      <c r="D3229" s="2492">
        <v>20583.945675861702</v>
      </c>
      <c r="E3229" s="2493">
        <v>21204.407407933599</v>
      </c>
      <c r="F3229" s="2494">
        <v>0.124276082413387</v>
      </c>
      <c r="G3229" s="2495">
        <v>0.13457802063999399</v>
      </c>
    </row>
    <row r="3230" spans="1:7" x14ac:dyDescent="0.3">
      <c r="A3230" s="6" t="s">
        <v>6614</v>
      </c>
      <c r="B3230" s="6"/>
      <c r="C3230" s="2488">
        <v>1</v>
      </c>
      <c r="D3230" s="2488">
        <v>17583.348324728999</v>
      </c>
      <c r="E3230" s="2489">
        <v>18221.755078530401</v>
      </c>
      <c r="F3230" s="2490">
        <v>0.106159901503715</v>
      </c>
      <c r="G3230" s="2491">
        <v>0.111951863983413</v>
      </c>
    </row>
    <row r="3231" spans="1:7" x14ac:dyDescent="0.3">
      <c r="A3231" s="11" t="s">
        <v>1116</v>
      </c>
      <c r="B3231" s="11"/>
      <c r="C3231" s="2492">
        <v>1</v>
      </c>
      <c r="D3231" s="2492">
        <v>12669.3306606019</v>
      </c>
      <c r="E3231" s="2493">
        <v>14284.1657983232</v>
      </c>
      <c r="F3231" s="2494">
        <v>7.6491398009555595E-2</v>
      </c>
      <c r="G3231" s="2495">
        <v>9.2553404860432106E-2</v>
      </c>
    </row>
    <row r="3232" spans="1:7" x14ac:dyDescent="0.3">
      <c r="A3232" s="6" t="s">
        <v>1019</v>
      </c>
      <c r="B3232" s="6" t="s">
        <v>1020</v>
      </c>
      <c r="C3232" s="2488">
        <v>7319</v>
      </c>
      <c r="D3232" s="2488">
        <v>650559503.66647601</v>
      </c>
      <c r="E3232" s="2489">
        <v>23253668.172159001</v>
      </c>
      <c r="F3232" s="2490">
        <v>99.940012672087505</v>
      </c>
      <c r="G3232" s="2491">
        <v>5.2944887086376097E-2</v>
      </c>
    </row>
    <row r="3233" spans="1:7" x14ac:dyDescent="0.3">
      <c r="A3233" s="11" t="s">
        <v>1044</v>
      </c>
      <c r="B3233" s="11" t="s">
        <v>1045</v>
      </c>
      <c r="C3233" s="2492">
        <v>2</v>
      </c>
      <c r="D3233" s="2492">
        <v>390487.50575061498</v>
      </c>
      <c r="E3233" s="2493">
        <v>346154.90937014797</v>
      </c>
      <c r="F3233" s="2494">
        <v>5.9987327912460302E-2</v>
      </c>
      <c r="G3233" s="2495">
        <v>5.2944887086375902E-2</v>
      </c>
    </row>
    <row r="3234" spans="1:7" x14ac:dyDescent="0.3">
      <c r="A3234" s="6" t="s">
        <v>6354</v>
      </c>
      <c r="B3234" s="6" t="s">
        <v>6355</v>
      </c>
      <c r="C3234" s="2488">
        <v>192</v>
      </c>
      <c r="D3234" s="2488">
        <v>16563078.973951001</v>
      </c>
      <c r="E3234" s="2489">
        <v>2100493.4934658599</v>
      </c>
      <c r="F3234" s="2490">
        <v>2.4813115599854698</v>
      </c>
      <c r="G3234" s="2491">
        <v>0.31614613275442499</v>
      </c>
    </row>
    <row r="3235" spans="1:7" x14ac:dyDescent="0.3">
      <c r="A3235" s="11" t="s">
        <v>6354</v>
      </c>
      <c r="B3235" s="11" t="s">
        <v>6356</v>
      </c>
      <c r="C3235" s="2492">
        <v>7513</v>
      </c>
      <c r="D3235" s="2492">
        <v>667513070.14617801</v>
      </c>
      <c r="E3235" s="2493">
        <v>0</v>
      </c>
      <c r="F3235" s="2494">
        <v>100</v>
      </c>
      <c r="G3235" s="2495">
        <v>0</v>
      </c>
    </row>
    <row r="3236" spans="1:7" x14ac:dyDescent="0.3">
      <c r="A3236" s="3449" t="s">
        <v>950</v>
      </c>
      <c r="B3236" s="3450"/>
      <c r="C3236" s="3450"/>
      <c r="D3236" s="3450"/>
      <c r="E3236" s="3450"/>
      <c r="F3236" s="3450"/>
      <c r="G3236" s="3450"/>
    </row>
    <row r="3237" spans="1:7" x14ac:dyDescent="0.3">
      <c r="A3237" s="11" t="s">
        <v>1021</v>
      </c>
      <c r="B3237" s="11" t="s">
        <v>6247</v>
      </c>
      <c r="C3237" s="2500">
        <v>88</v>
      </c>
      <c r="D3237" s="2500">
        <v>9668282.4375688098</v>
      </c>
      <c r="E3237" s="2501">
        <v>2310812.18769927</v>
      </c>
      <c r="F3237" s="2502">
        <v>58.372494949605901</v>
      </c>
      <c r="G3237" s="2503">
        <v>8.0561078494759908</v>
      </c>
    </row>
    <row r="3238" spans="1:7" x14ac:dyDescent="0.3">
      <c r="A3238" s="6" t="s">
        <v>1023</v>
      </c>
      <c r="B3238" s="6" t="s">
        <v>6248</v>
      </c>
      <c r="C3238" s="2496">
        <v>105</v>
      </c>
      <c r="D3238" s="2496">
        <v>6894796.5363822198</v>
      </c>
      <c r="E3238" s="2497">
        <v>968390.53496550198</v>
      </c>
      <c r="F3238" s="2498">
        <v>41.627505050393999</v>
      </c>
      <c r="G3238" s="2499">
        <v>8.0561078494759908</v>
      </c>
    </row>
    <row r="3239" spans="1:7" x14ac:dyDescent="0.3">
      <c r="A3239" s="11" t="s">
        <v>1019</v>
      </c>
      <c r="B3239" s="11" t="s">
        <v>1020</v>
      </c>
      <c r="C3239" s="2500">
        <v>7319</v>
      </c>
      <c r="D3239" s="2500">
        <v>650559503.66647601</v>
      </c>
      <c r="E3239" s="2501">
        <v>23253668.172159001</v>
      </c>
      <c r="F3239" s="2502">
        <v>99.940012672087505</v>
      </c>
      <c r="G3239" s="2503">
        <v>5.2944887086376097E-2</v>
      </c>
    </row>
    <row r="3240" spans="1:7" x14ac:dyDescent="0.3">
      <c r="A3240" s="6" t="s">
        <v>1044</v>
      </c>
      <c r="B3240" s="6" t="s">
        <v>1045</v>
      </c>
      <c r="C3240" s="2496">
        <v>2</v>
      </c>
      <c r="D3240" s="2496">
        <v>390487.50575061498</v>
      </c>
      <c r="E3240" s="2497">
        <v>346154.90937014797</v>
      </c>
      <c r="F3240" s="2498">
        <v>5.9987327912460302E-2</v>
      </c>
      <c r="G3240" s="2499">
        <v>5.2944887086375902E-2</v>
      </c>
    </row>
    <row r="3241" spans="1:7" x14ac:dyDescent="0.3">
      <c r="A3241" s="11" t="s">
        <v>6354</v>
      </c>
      <c r="B3241" s="11" t="s">
        <v>6355</v>
      </c>
      <c r="C3241" s="2500">
        <v>193</v>
      </c>
      <c r="D3241" s="2500">
        <v>16563078.973951001</v>
      </c>
      <c r="E3241" s="2501">
        <v>2100493.4934658599</v>
      </c>
      <c r="F3241" s="2502">
        <v>2.4813115599854698</v>
      </c>
      <c r="G3241" s="2503">
        <v>0.31614613275442499</v>
      </c>
    </row>
    <row r="3242" spans="1:7" x14ac:dyDescent="0.3">
      <c r="A3242" s="6" t="s">
        <v>6354</v>
      </c>
      <c r="B3242" s="6" t="s">
        <v>6356</v>
      </c>
      <c r="C3242" s="2496">
        <v>7514</v>
      </c>
      <c r="D3242" s="2496">
        <v>667513070.14617801</v>
      </c>
      <c r="E3242" s="2497">
        <v>0</v>
      </c>
      <c r="F3242" s="2498">
        <v>100</v>
      </c>
      <c r="G3242" s="2499">
        <v>0</v>
      </c>
    </row>
    <row r="3243" spans="1:7" x14ac:dyDescent="0.3">
      <c r="A3243" s="3449" t="s">
        <v>820</v>
      </c>
      <c r="B3243" s="3450"/>
      <c r="C3243" s="3450"/>
      <c r="D3243" s="3450"/>
      <c r="E3243" s="3450"/>
      <c r="F3243" s="3450"/>
      <c r="G3243" s="3450"/>
    </row>
    <row r="3244" spans="1:7" x14ac:dyDescent="0.3">
      <c r="A3244" s="11" t="s">
        <v>1023</v>
      </c>
      <c r="B3244" s="11" t="s">
        <v>1107</v>
      </c>
      <c r="C3244" s="2508">
        <v>7428</v>
      </c>
      <c r="D3244" s="2508">
        <v>651772659.91367698</v>
      </c>
      <c r="E3244" s="2509">
        <v>23749267.198861599</v>
      </c>
      <c r="F3244" s="2510">
        <v>97.641932280209403</v>
      </c>
      <c r="G3244" s="2511">
        <v>0.51051061240566897</v>
      </c>
    </row>
    <row r="3245" spans="1:7" x14ac:dyDescent="0.3">
      <c r="A3245" s="6" t="s">
        <v>1021</v>
      </c>
      <c r="B3245" s="6" t="s">
        <v>1106</v>
      </c>
      <c r="C3245" s="2504">
        <v>87</v>
      </c>
      <c r="D3245" s="2504">
        <v>15740410.2325</v>
      </c>
      <c r="E3245" s="2505">
        <v>3399789.0297449399</v>
      </c>
      <c r="F3245" s="2506">
        <v>2.3580677197905802</v>
      </c>
      <c r="G3245" s="2507">
        <v>0.51051061240566697</v>
      </c>
    </row>
    <row r="3246" spans="1:7" x14ac:dyDescent="0.3">
      <c r="A3246" s="11" t="s">
        <v>6354</v>
      </c>
      <c r="B3246" s="11" t="s">
        <v>6355</v>
      </c>
      <c r="C3246" s="2508">
        <v>7515</v>
      </c>
      <c r="D3246" s="2508">
        <v>667513070.14617705</v>
      </c>
      <c r="E3246" s="2509">
        <v>23529830.745542299</v>
      </c>
      <c r="F3246" s="2510">
        <v>100</v>
      </c>
      <c r="G3246" s="2511">
        <v>1.45362315675074E-14</v>
      </c>
    </row>
    <row r="3247" spans="1:7" x14ac:dyDescent="0.3">
      <c r="A3247" s="6" t="s">
        <v>6354</v>
      </c>
      <c r="B3247" s="6" t="s">
        <v>6356</v>
      </c>
      <c r="C3247" s="2504">
        <v>7515</v>
      </c>
      <c r="D3247" s="2504">
        <v>667513070.14617705</v>
      </c>
      <c r="E3247" s="2505">
        <v>0</v>
      </c>
      <c r="F3247" s="2506">
        <v>100</v>
      </c>
      <c r="G3247" s="2507">
        <v>0</v>
      </c>
    </row>
    <row r="3248" spans="1:7" x14ac:dyDescent="0.3">
      <c r="A3248" s="3449" t="s">
        <v>823</v>
      </c>
      <c r="B3248" s="3450"/>
      <c r="C3248" s="3450"/>
      <c r="D3248" s="3450"/>
      <c r="E3248" s="3450"/>
      <c r="F3248" s="3450"/>
      <c r="G3248" s="3450"/>
    </row>
    <row r="3249" spans="1:7" x14ac:dyDescent="0.3">
      <c r="A3249" s="11" t="s">
        <v>1025</v>
      </c>
      <c r="B3249" s="11" t="s">
        <v>6157</v>
      </c>
      <c r="C3249" s="2516">
        <v>3235</v>
      </c>
      <c r="D3249" s="2516">
        <v>274987158.26478797</v>
      </c>
      <c r="E3249" s="2517">
        <v>17524827.545216899</v>
      </c>
      <c r="F3249" s="2518">
        <v>41.195771373370803</v>
      </c>
      <c r="G3249" s="2519">
        <v>2.26402983772567</v>
      </c>
    </row>
    <row r="3250" spans="1:7" x14ac:dyDescent="0.3">
      <c r="A3250" s="6" t="s">
        <v>1027</v>
      </c>
      <c r="B3250" s="6" t="s">
        <v>6117</v>
      </c>
      <c r="C3250" s="2512">
        <v>1975</v>
      </c>
      <c r="D3250" s="2512">
        <v>178151750.43253499</v>
      </c>
      <c r="E3250" s="2513">
        <v>6694333.2477688296</v>
      </c>
      <c r="F3250" s="2514">
        <v>26.688878225788301</v>
      </c>
      <c r="G3250" s="2515">
        <v>1.42609361346833</v>
      </c>
    </row>
    <row r="3251" spans="1:7" x14ac:dyDescent="0.3">
      <c r="A3251" s="11" t="s">
        <v>1031</v>
      </c>
      <c r="B3251" s="11" t="s">
        <v>6118</v>
      </c>
      <c r="C3251" s="2516">
        <v>1102</v>
      </c>
      <c r="D3251" s="2516">
        <v>91035088.701531798</v>
      </c>
      <c r="E3251" s="2517">
        <v>13076532.815876801</v>
      </c>
      <c r="F3251" s="2518">
        <v>13.637948494640799</v>
      </c>
      <c r="G3251" s="2519">
        <v>1.7408319420876399</v>
      </c>
    </row>
    <row r="3252" spans="1:7" x14ac:dyDescent="0.3">
      <c r="A3252" s="6" t="s">
        <v>1021</v>
      </c>
      <c r="B3252" s="6" t="s">
        <v>890</v>
      </c>
      <c r="C3252" s="2512">
        <v>413</v>
      </c>
      <c r="D3252" s="2512">
        <v>46184555.006165303</v>
      </c>
      <c r="E3252" s="2513">
        <v>6959884.3811188098</v>
      </c>
      <c r="F3252" s="2514">
        <v>6.9188989806673504</v>
      </c>
      <c r="G3252" s="2515">
        <v>1.06544236863202</v>
      </c>
    </row>
    <row r="3253" spans="1:7" x14ac:dyDescent="0.3">
      <c r="A3253" s="11" t="s">
        <v>1029</v>
      </c>
      <c r="B3253" s="11" t="s">
        <v>4570</v>
      </c>
      <c r="C3253" s="2516">
        <v>524</v>
      </c>
      <c r="D3253" s="2516">
        <v>43403081.582546301</v>
      </c>
      <c r="E3253" s="2517">
        <v>12546383.4530614</v>
      </c>
      <c r="F3253" s="2518">
        <v>6.5022070014361502</v>
      </c>
      <c r="G3253" s="2519">
        <v>1.7113343805816399</v>
      </c>
    </row>
    <row r="3254" spans="1:7" x14ac:dyDescent="0.3">
      <c r="A3254" s="6" t="s">
        <v>1063</v>
      </c>
      <c r="B3254" s="6" t="s">
        <v>6122</v>
      </c>
      <c r="C3254" s="2512">
        <v>77</v>
      </c>
      <c r="D3254" s="2512">
        <v>13037602.181418</v>
      </c>
      <c r="E3254" s="2513">
        <v>3187996.7063586898</v>
      </c>
      <c r="F3254" s="2514">
        <v>1.95316058434075</v>
      </c>
      <c r="G3254" s="2515">
        <v>0.48594316441874102</v>
      </c>
    </row>
    <row r="3255" spans="1:7" x14ac:dyDescent="0.3">
      <c r="A3255" s="11" t="s">
        <v>1052</v>
      </c>
      <c r="B3255" s="11" t="s">
        <v>6149</v>
      </c>
      <c r="C3255" s="2516">
        <v>77</v>
      </c>
      <c r="D3255" s="2516">
        <v>7062936.6415915396</v>
      </c>
      <c r="E3255" s="2517">
        <v>2202388.7697509001</v>
      </c>
      <c r="F3255" s="2518">
        <v>1.0580971305992299</v>
      </c>
      <c r="G3255" s="2519">
        <v>0.33508889974010903</v>
      </c>
    </row>
    <row r="3256" spans="1:7" x14ac:dyDescent="0.3">
      <c r="A3256" s="6" t="s">
        <v>1065</v>
      </c>
      <c r="B3256" s="6" t="s">
        <v>6144</v>
      </c>
      <c r="C3256" s="2512">
        <v>30</v>
      </c>
      <c r="D3256" s="2512">
        <v>5951673.7793723997</v>
      </c>
      <c r="E3256" s="2513">
        <v>2961079.4855001001</v>
      </c>
      <c r="F3256" s="2514">
        <v>0.89161906269026803</v>
      </c>
      <c r="G3256" s="2515">
        <v>0.44986204929788198</v>
      </c>
    </row>
    <row r="3257" spans="1:7" x14ac:dyDescent="0.3">
      <c r="A3257" s="11" t="s">
        <v>1023</v>
      </c>
      <c r="B3257" s="11" t="s">
        <v>1049</v>
      </c>
      <c r="C3257" s="2516">
        <v>23</v>
      </c>
      <c r="D3257" s="2516">
        <v>3033409.4711559</v>
      </c>
      <c r="E3257" s="2517">
        <v>1289506.3122994399</v>
      </c>
      <c r="F3257" s="2518">
        <v>0.45443446830061501</v>
      </c>
      <c r="G3257" s="2519">
        <v>0.19804706491895399</v>
      </c>
    </row>
    <row r="3258" spans="1:7" x14ac:dyDescent="0.3">
      <c r="A3258" s="6" t="s">
        <v>1042</v>
      </c>
      <c r="B3258" s="6" t="s">
        <v>6120</v>
      </c>
      <c r="C3258" s="2512">
        <v>15</v>
      </c>
      <c r="D3258" s="2512">
        <v>1116093.89015927</v>
      </c>
      <c r="E3258" s="2513">
        <v>998120.337765962</v>
      </c>
      <c r="F3258" s="2514">
        <v>0.16720180324182299</v>
      </c>
      <c r="G3258" s="2515">
        <v>0.15137921981623101</v>
      </c>
    </row>
    <row r="3259" spans="1:7" x14ac:dyDescent="0.3">
      <c r="A3259" s="11" t="s">
        <v>1081</v>
      </c>
      <c r="B3259" s="11" t="s">
        <v>6148</v>
      </c>
      <c r="C3259" s="2516">
        <v>5</v>
      </c>
      <c r="D3259" s="2516">
        <v>933163.04483293404</v>
      </c>
      <c r="E3259" s="2517">
        <v>492618.36398920498</v>
      </c>
      <c r="F3259" s="2518">
        <v>0.13979696976249201</v>
      </c>
      <c r="G3259" s="2519">
        <v>7.35550322578329E-2</v>
      </c>
    </row>
    <row r="3260" spans="1:7" x14ac:dyDescent="0.3">
      <c r="A3260" s="6" t="s">
        <v>1077</v>
      </c>
      <c r="B3260" s="6" t="s">
        <v>6170</v>
      </c>
      <c r="C3260" s="2512">
        <v>8</v>
      </c>
      <c r="D3260" s="2512">
        <v>828727.30892740504</v>
      </c>
      <c r="E3260" s="2513">
        <v>372462.52191628201</v>
      </c>
      <c r="F3260" s="2514">
        <v>0.124151472981034</v>
      </c>
      <c r="G3260" s="2515">
        <v>5.6559121093040003E-2</v>
      </c>
    </row>
    <row r="3261" spans="1:7" x14ac:dyDescent="0.3">
      <c r="A3261" s="11" t="s">
        <v>1222</v>
      </c>
      <c r="B3261" s="11" t="s">
        <v>6171</v>
      </c>
      <c r="C3261" s="2516">
        <v>5</v>
      </c>
      <c r="D3261" s="2516">
        <v>436975.88888754998</v>
      </c>
      <c r="E3261" s="2517">
        <v>357922.631298844</v>
      </c>
      <c r="F3261" s="2518">
        <v>6.5463270822825395E-2</v>
      </c>
      <c r="G3261" s="2519">
        <v>5.2143277396359898E-2</v>
      </c>
    </row>
    <row r="3262" spans="1:7" x14ac:dyDescent="0.3">
      <c r="A3262" s="6" t="s">
        <v>1061</v>
      </c>
      <c r="B3262" s="6" t="s">
        <v>6121</v>
      </c>
      <c r="C3262" s="2512">
        <v>10</v>
      </c>
      <c r="D3262" s="2512">
        <v>416104.29711501201</v>
      </c>
      <c r="E3262" s="2513">
        <v>190656.54459839099</v>
      </c>
      <c r="F3262" s="2514">
        <v>6.2336501819191099E-2</v>
      </c>
      <c r="G3262" s="2515">
        <v>2.8733658181634501E-2</v>
      </c>
    </row>
    <row r="3263" spans="1:7" x14ac:dyDescent="0.3">
      <c r="A3263" s="11" t="s">
        <v>1075</v>
      </c>
      <c r="B3263" s="11" t="s">
        <v>6169</v>
      </c>
      <c r="C3263" s="2516">
        <v>2</v>
      </c>
      <c r="D3263" s="2516">
        <v>400616.02467103599</v>
      </c>
      <c r="E3263" s="2517">
        <v>427606.53090447601</v>
      </c>
      <c r="F3263" s="2518">
        <v>6.00162068112471E-2</v>
      </c>
      <c r="G3263" s="2519">
        <v>6.4981035595019096E-2</v>
      </c>
    </row>
    <row r="3264" spans="1:7" x14ac:dyDescent="0.3">
      <c r="A3264" s="6" t="s">
        <v>1067</v>
      </c>
      <c r="B3264" s="6" t="s">
        <v>6168</v>
      </c>
      <c r="C3264" s="2512">
        <v>7</v>
      </c>
      <c r="D3264" s="2512">
        <v>327820.61262692203</v>
      </c>
      <c r="E3264" s="2513">
        <v>324200.54949244298</v>
      </c>
      <c r="F3264" s="2514">
        <v>4.9110740641397803E-2</v>
      </c>
      <c r="G3264" s="2515">
        <v>4.87610770355267E-2</v>
      </c>
    </row>
    <row r="3265" spans="1:7" x14ac:dyDescent="0.3">
      <c r="A3265" s="11" t="s">
        <v>1069</v>
      </c>
      <c r="B3265" s="11" t="s">
        <v>6125</v>
      </c>
      <c r="C3265" s="2516">
        <v>1</v>
      </c>
      <c r="D3265" s="2516">
        <v>110507.009754364</v>
      </c>
      <c r="E3265" s="2517">
        <v>113893.61955865999</v>
      </c>
      <c r="F3265" s="2518">
        <v>1.6555033106717101E-2</v>
      </c>
      <c r="G3265" s="2519">
        <v>1.7206566410959401E-2</v>
      </c>
    </row>
    <row r="3266" spans="1:7" x14ac:dyDescent="0.3">
      <c r="A3266" s="6" t="s">
        <v>1079</v>
      </c>
      <c r="B3266" s="6" t="s">
        <v>6130</v>
      </c>
      <c r="C3266" s="2512">
        <v>6</v>
      </c>
      <c r="D3266" s="2512">
        <v>95806.008100950407</v>
      </c>
      <c r="E3266" s="2513">
        <v>63268.808196297003</v>
      </c>
      <c r="F3266" s="2514">
        <v>1.43526789790003E-2</v>
      </c>
      <c r="G3266" s="2515">
        <v>9.5506165068329797E-3</v>
      </c>
    </row>
    <row r="3267" spans="1:7" x14ac:dyDescent="0.3">
      <c r="A3267" s="11" t="s">
        <v>6354</v>
      </c>
      <c r="B3267" s="11" t="s">
        <v>6355</v>
      </c>
      <c r="C3267" s="2516">
        <v>7515</v>
      </c>
      <c r="D3267" s="2516">
        <v>667513070.14617896</v>
      </c>
      <c r="E3267" s="2517">
        <v>23529830.745544702</v>
      </c>
      <c r="F3267" s="2518">
        <v>100</v>
      </c>
      <c r="G3267" s="2519">
        <v>2.5177491625509499E-14</v>
      </c>
    </row>
    <row r="3268" spans="1:7" x14ac:dyDescent="0.3">
      <c r="A3268" s="6" t="s">
        <v>6354</v>
      </c>
      <c r="B3268" s="6" t="s">
        <v>6356</v>
      </c>
      <c r="C3268" s="2512">
        <v>7515</v>
      </c>
      <c r="D3268" s="2512">
        <v>667513070.14617896</v>
      </c>
      <c r="E3268" s="2513">
        <v>0</v>
      </c>
      <c r="F3268" s="2514">
        <v>100</v>
      </c>
      <c r="G3268" s="2515">
        <v>0</v>
      </c>
    </row>
    <row r="3269" spans="1:7" x14ac:dyDescent="0.3">
      <c r="A3269" s="3449" t="s">
        <v>825</v>
      </c>
      <c r="B3269" s="3450"/>
      <c r="C3269" s="3450"/>
      <c r="D3269" s="3450"/>
      <c r="E3269" s="3450"/>
      <c r="F3269" s="3450"/>
      <c r="G3269" s="3450"/>
    </row>
    <row r="3270" spans="1:7" x14ac:dyDescent="0.3">
      <c r="A3270" s="11" t="s">
        <v>1025</v>
      </c>
      <c r="B3270" s="11" t="s">
        <v>6157</v>
      </c>
      <c r="C3270" s="2524">
        <v>3878</v>
      </c>
      <c r="D3270" s="2524">
        <v>334900830.15319598</v>
      </c>
      <c r="E3270" s="2525">
        <v>21414062.394972298</v>
      </c>
      <c r="F3270" s="2526">
        <v>50.171426617887199</v>
      </c>
      <c r="G3270" s="2527">
        <v>3.4123432044221902</v>
      </c>
    </row>
    <row r="3271" spans="1:7" x14ac:dyDescent="0.3">
      <c r="A3271" s="6" t="s">
        <v>1027</v>
      </c>
      <c r="B3271" s="6" t="s">
        <v>6117</v>
      </c>
      <c r="C3271" s="2520">
        <v>1515</v>
      </c>
      <c r="D3271" s="2520">
        <v>129116097.789619</v>
      </c>
      <c r="E3271" s="2521">
        <v>8104087.4807313504</v>
      </c>
      <c r="F3271" s="2522">
        <v>19.342856876397001</v>
      </c>
      <c r="G3271" s="2523">
        <v>0.993319665265879</v>
      </c>
    </row>
    <row r="3272" spans="1:7" x14ac:dyDescent="0.3">
      <c r="A3272" s="11" t="s">
        <v>1031</v>
      </c>
      <c r="B3272" s="11" t="s">
        <v>6118</v>
      </c>
      <c r="C3272" s="2524">
        <v>1056</v>
      </c>
      <c r="D3272" s="2524">
        <v>86279879.068064302</v>
      </c>
      <c r="E3272" s="2525">
        <v>14543183.7261404</v>
      </c>
      <c r="F3272" s="2526">
        <v>12.925571487187501</v>
      </c>
      <c r="G3272" s="2527">
        <v>1.99906860147703</v>
      </c>
    </row>
    <row r="3273" spans="1:7" x14ac:dyDescent="0.3">
      <c r="A3273" s="6" t="s">
        <v>1021</v>
      </c>
      <c r="B3273" s="6" t="s">
        <v>890</v>
      </c>
      <c r="C3273" s="2520">
        <v>413</v>
      </c>
      <c r="D3273" s="2520">
        <v>46184555.006165303</v>
      </c>
      <c r="E3273" s="2521">
        <v>6959884.3811188098</v>
      </c>
      <c r="F3273" s="2522">
        <v>6.9188989806673504</v>
      </c>
      <c r="G3273" s="2523">
        <v>1.06544236863202</v>
      </c>
    </row>
    <row r="3274" spans="1:7" x14ac:dyDescent="0.3">
      <c r="A3274" s="11" t="s">
        <v>1029</v>
      </c>
      <c r="B3274" s="11" t="s">
        <v>4570</v>
      </c>
      <c r="C3274" s="2524">
        <v>392</v>
      </c>
      <c r="D3274" s="2524">
        <v>37592794.305563703</v>
      </c>
      <c r="E3274" s="2525">
        <v>12664213.9763366</v>
      </c>
      <c r="F3274" s="2526">
        <v>5.6317690224898804</v>
      </c>
      <c r="G3274" s="2527">
        <v>1.75751662819629</v>
      </c>
    </row>
    <row r="3275" spans="1:7" x14ac:dyDescent="0.3">
      <c r="A3275" s="6" t="s">
        <v>1063</v>
      </c>
      <c r="B3275" s="6" t="s">
        <v>6122</v>
      </c>
      <c r="C3275" s="2520">
        <v>77</v>
      </c>
      <c r="D3275" s="2520">
        <v>13037602.181418</v>
      </c>
      <c r="E3275" s="2521">
        <v>3187996.7063586898</v>
      </c>
      <c r="F3275" s="2522">
        <v>1.95316058434075</v>
      </c>
      <c r="G3275" s="2523">
        <v>0.48594316441874902</v>
      </c>
    </row>
    <row r="3276" spans="1:7" x14ac:dyDescent="0.3">
      <c r="A3276" s="11" t="s">
        <v>1052</v>
      </c>
      <c r="B3276" s="11" t="s">
        <v>6149</v>
      </c>
      <c r="C3276" s="2524">
        <v>77</v>
      </c>
      <c r="D3276" s="2524">
        <v>7062936.6415915396</v>
      </c>
      <c r="E3276" s="2525">
        <v>2202388.7697509001</v>
      </c>
      <c r="F3276" s="2526">
        <v>1.0580971305992299</v>
      </c>
      <c r="G3276" s="2527">
        <v>0.33508889974010903</v>
      </c>
    </row>
    <row r="3277" spans="1:7" x14ac:dyDescent="0.3">
      <c r="A3277" s="6" t="s">
        <v>1065</v>
      </c>
      <c r="B3277" s="6" t="s">
        <v>6144</v>
      </c>
      <c r="C3277" s="2520">
        <v>30</v>
      </c>
      <c r="D3277" s="2520">
        <v>5951673.7793723997</v>
      </c>
      <c r="E3277" s="2521">
        <v>2961079.4855001001</v>
      </c>
      <c r="F3277" s="2522">
        <v>0.89161906269026803</v>
      </c>
      <c r="G3277" s="2523">
        <v>0.44986204929788198</v>
      </c>
    </row>
    <row r="3278" spans="1:7" x14ac:dyDescent="0.3">
      <c r="A3278" s="11" t="s">
        <v>1023</v>
      </c>
      <c r="B3278" s="11" t="s">
        <v>1049</v>
      </c>
      <c r="C3278" s="2524">
        <v>23</v>
      </c>
      <c r="D3278" s="2524">
        <v>3033409.4711559</v>
      </c>
      <c r="E3278" s="2525">
        <v>1289506.3122994399</v>
      </c>
      <c r="F3278" s="2526">
        <v>0.45443446830061501</v>
      </c>
      <c r="G3278" s="2527">
        <v>0.19804706491895399</v>
      </c>
    </row>
    <row r="3279" spans="1:7" x14ac:dyDescent="0.3">
      <c r="A3279" s="6" t="s">
        <v>1042</v>
      </c>
      <c r="B3279" s="6" t="s">
        <v>6120</v>
      </c>
      <c r="C3279" s="2520">
        <v>15</v>
      </c>
      <c r="D3279" s="2520">
        <v>1116093.89015927</v>
      </c>
      <c r="E3279" s="2521">
        <v>998120.337765962</v>
      </c>
      <c r="F3279" s="2522">
        <v>0.16720180324182299</v>
      </c>
      <c r="G3279" s="2523">
        <v>0.15137921981623201</v>
      </c>
    </row>
    <row r="3280" spans="1:7" x14ac:dyDescent="0.3">
      <c r="A3280" s="11" t="s">
        <v>1081</v>
      </c>
      <c r="B3280" s="11" t="s">
        <v>6148</v>
      </c>
      <c r="C3280" s="2524">
        <v>5</v>
      </c>
      <c r="D3280" s="2524">
        <v>933163.04483293404</v>
      </c>
      <c r="E3280" s="2525">
        <v>492618.36398920498</v>
      </c>
      <c r="F3280" s="2526">
        <v>0.13979696976249201</v>
      </c>
      <c r="G3280" s="2527">
        <v>7.3555032257832595E-2</v>
      </c>
    </row>
    <row r="3281" spans="1:7" x14ac:dyDescent="0.3">
      <c r="A3281" s="6" t="s">
        <v>1077</v>
      </c>
      <c r="B3281" s="6" t="s">
        <v>6170</v>
      </c>
      <c r="C3281" s="2520">
        <v>8</v>
      </c>
      <c r="D3281" s="2520">
        <v>828727.30892740504</v>
      </c>
      <c r="E3281" s="2521">
        <v>372462.52191628201</v>
      </c>
      <c r="F3281" s="2522">
        <v>0.124151472981034</v>
      </c>
      <c r="G3281" s="2523">
        <v>5.6559121093040003E-2</v>
      </c>
    </row>
    <row r="3282" spans="1:7" x14ac:dyDescent="0.3">
      <c r="A3282" s="11" t="s">
        <v>1222</v>
      </c>
      <c r="B3282" s="11" t="s">
        <v>6171</v>
      </c>
      <c r="C3282" s="2524">
        <v>5</v>
      </c>
      <c r="D3282" s="2524">
        <v>436975.88888754998</v>
      </c>
      <c r="E3282" s="2525">
        <v>357922.631298844</v>
      </c>
      <c r="F3282" s="2526">
        <v>6.5463270822825395E-2</v>
      </c>
      <c r="G3282" s="2527">
        <v>5.2143277396359898E-2</v>
      </c>
    </row>
    <row r="3283" spans="1:7" x14ac:dyDescent="0.3">
      <c r="A3283" s="6" t="s">
        <v>1075</v>
      </c>
      <c r="B3283" s="6" t="s">
        <v>6169</v>
      </c>
      <c r="C3283" s="2520">
        <v>2</v>
      </c>
      <c r="D3283" s="2520">
        <v>400616.02467103599</v>
      </c>
      <c r="E3283" s="2521">
        <v>427606.53090447601</v>
      </c>
      <c r="F3283" s="2522">
        <v>6.00162068112471E-2</v>
      </c>
      <c r="G3283" s="2523">
        <v>6.4981035595019096E-2</v>
      </c>
    </row>
    <row r="3284" spans="1:7" x14ac:dyDescent="0.3">
      <c r="A3284" s="11" t="s">
        <v>1067</v>
      </c>
      <c r="B3284" s="11" t="s">
        <v>6168</v>
      </c>
      <c r="C3284" s="2524">
        <v>7</v>
      </c>
      <c r="D3284" s="2524">
        <v>327820.61262692203</v>
      </c>
      <c r="E3284" s="2525">
        <v>324200.54949244298</v>
      </c>
      <c r="F3284" s="2526">
        <v>4.9110740641397803E-2</v>
      </c>
      <c r="G3284" s="2527">
        <v>4.87610770355267E-2</v>
      </c>
    </row>
    <row r="3285" spans="1:7" x14ac:dyDescent="0.3">
      <c r="A3285" s="6" t="s">
        <v>1069</v>
      </c>
      <c r="B3285" s="6" t="s">
        <v>6125</v>
      </c>
      <c r="C3285" s="2520">
        <v>1</v>
      </c>
      <c r="D3285" s="2520">
        <v>110507.009754364</v>
      </c>
      <c r="E3285" s="2521">
        <v>113893.61955865999</v>
      </c>
      <c r="F3285" s="2522">
        <v>1.6555033106717101E-2</v>
      </c>
      <c r="G3285" s="2523">
        <v>1.7206566410959401E-2</v>
      </c>
    </row>
    <row r="3286" spans="1:7" x14ac:dyDescent="0.3">
      <c r="A3286" s="11" t="s">
        <v>1061</v>
      </c>
      <c r="B3286" s="11" t="s">
        <v>6121</v>
      </c>
      <c r="C3286" s="2524">
        <v>5</v>
      </c>
      <c r="D3286" s="2524">
        <v>103581.962072963</v>
      </c>
      <c r="E3286" s="2525">
        <v>109672.03149382499</v>
      </c>
      <c r="F3286" s="2526">
        <v>1.5517593093762201E-2</v>
      </c>
      <c r="G3286" s="2527">
        <v>1.6357855596832501E-2</v>
      </c>
    </row>
    <row r="3287" spans="1:7" x14ac:dyDescent="0.3">
      <c r="A3287" s="6" t="s">
        <v>1079</v>
      </c>
      <c r="B3287" s="6" t="s">
        <v>6130</v>
      </c>
      <c r="C3287" s="2520">
        <v>6</v>
      </c>
      <c r="D3287" s="2520">
        <v>95806.008100950407</v>
      </c>
      <c r="E3287" s="2521">
        <v>63268.808196297003</v>
      </c>
      <c r="F3287" s="2522">
        <v>1.43526789790003E-2</v>
      </c>
      <c r="G3287" s="2523">
        <v>9.5506165068329606E-3</v>
      </c>
    </row>
    <row r="3288" spans="1:7" x14ac:dyDescent="0.3">
      <c r="A3288" s="11" t="s">
        <v>6354</v>
      </c>
      <c r="B3288" s="11" t="s">
        <v>6355</v>
      </c>
      <c r="C3288" s="2524">
        <v>7515</v>
      </c>
      <c r="D3288" s="2524">
        <v>667513070.14618003</v>
      </c>
      <c r="E3288" s="2525">
        <v>23529830.745544702</v>
      </c>
      <c r="F3288" s="2526">
        <v>100</v>
      </c>
      <c r="G3288" s="2527">
        <v>1.02786679142825E-14</v>
      </c>
    </row>
    <row r="3289" spans="1:7" x14ac:dyDescent="0.3">
      <c r="A3289" s="6" t="s">
        <v>6354</v>
      </c>
      <c r="B3289" s="6" t="s">
        <v>6356</v>
      </c>
      <c r="C3289" s="2520">
        <v>7515</v>
      </c>
      <c r="D3289" s="2520">
        <v>667513070.14618003</v>
      </c>
      <c r="E3289" s="2521">
        <v>0</v>
      </c>
      <c r="F3289" s="2522">
        <v>100</v>
      </c>
      <c r="G3289" s="2523">
        <v>0</v>
      </c>
    </row>
    <row r="3290" spans="1:7" x14ac:dyDescent="0.3">
      <c r="A3290" s="3449" t="s">
        <v>828</v>
      </c>
      <c r="B3290" s="3450"/>
      <c r="C3290" s="3450"/>
      <c r="D3290" s="3450"/>
      <c r="E3290" s="3450"/>
      <c r="F3290" s="3450"/>
      <c r="G3290" s="3450"/>
    </row>
    <row r="3291" spans="1:7" x14ac:dyDescent="0.3">
      <c r="A3291" s="11" t="s">
        <v>6463</v>
      </c>
      <c r="B3291" s="11"/>
      <c r="C3291" s="2532">
        <v>23</v>
      </c>
      <c r="D3291" s="2532">
        <v>4206011.3364694603</v>
      </c>
      <c r="E3291" s="2533">
        <v>2195151.0973812002</v>
      </c>
      <c r="F3291" s="2534">
        <v>59.550461088685203</v>
      </c>
      <c r="G3291" s="2535">
        <v>16.397496059335399</v>
      </c>
    </row>
    <row r="3292" spans="1:7" x14ac:dyDescent="0.3">
      <c r="A3292" s="6" t="s">
        <v>6615</v>
      </c>
      <c r="B3292" s="6"/>
      <c r="C3292" s="2528">
        <v>17</v>
      </c>
      <c r="D3292" s="2528">
        <v>1456017.8866542301</v>
      </c>
      <c r="E3292" s="2529">
        <v>1156344.5382445001</v>
      </c>
      <c r="F3292" s="2530">
        <v>20.614907941835</v>
      </c>
      <c r="G3292" s="2531">
        <v>16.599008119504301</v>
      </c>
    </row>
    <row r="3293" spans="1:7" x14ac:dyDescent="0.3">
      <c r="A3293" s="11" t="s">
        <v>6616</v>
      </c>
      <c r="B3293" s="11"/>
      <c r="C3293" s="2532">
        <v>9</v>
      </c>
      <c r="D3293" s="2532">
        <v>584450.88668936701</v>
      </c>
      <c r="E3293" s="2533">
        <v>458321.87659189699</v>
      </c>
      <c r="F3293" s="2534">
        <v>8.2748991863767998</v>
      </c>
      <c r="G3293" s="2535">
        <v>6.9728399646572203</v>
      </c>
    </row>
    <row r="3294" spans="1:7" x14ac:dyDescent="0.3">
      <c r="A3294" s="6" t="s">
        <v>6617</v>
      </c>
      <c r="B3294" s="6"/>
      <c r="C3294" s="2528">
        <v>5</v>
      </c>
      <c r="D3294" s="2528">
        <v>527869.427559676</v>
      </c>
      <c r="E3294" s="2529">
        <v>475682.64554174198</v>
      </c>
      <c r="F3294" s="2530">
        <v>7.4737953113045004</v>
      </c>
      <c r="G3294" s="2531">
        <v>7.6369622234493999</v>
      </c>
    </row>
    <row r="3295" spans="1:7" x14ac:dyDescent="0.3">
      <c r="A3295" s="11" t="s">
        <v>6618</v>
      </c>
      <c r="B3295" s="11"/>
      <c r="C3295" s="2532">
        <v>12</v>
      </c>
      <c r="D3295" s="2532">
        <v>215041.945225598</v>
      </c>
      <c r="E3295" s="2533">
        <v>225224.03322517901</v>
      </c>
      <c r="F3295" s="2534">
        <v>3.04465346551858</v>
      </c>
      <c r="G3295" s="2535">
        <v>3.3494026099891898</v>
      </c>
    </row>
    <row r="3296" spans="1:7" x14ac:dyDescent="0.3">
      <c r="A3296" s="6" t="s">
        <v>6619</v>
      </c>
      <c r="B3296" s="6"/>
      <c r="C3296" s="2528">
        <v>8</v>
      </c>
      <c r="D3296" s="2528">
        <v>73545.158993212201</v>
      </c>
      <c r="E3296" s="2529">
        <v>62981.442957264597</v>
      </c>
      <c r="F3296" s="2530">
        <v>1.0412830062799401</v>
      </c>
      <c r="G3296" s="2531">
        <v>0.76706034212797403</v>
      </c>
    </row>
    <row r="3297" spans="1:7" x14ac:dyDescent="0.3">
      <c r="A3297" s="11" t="s">
        <v>1019</v>
      </c>
      <c r="B3297" s="11" t="s">
        <v>1020</v>
      </c>
      <c r="C3297" s="2532">
        <v>7438</v>
      </c>
      <c r="D3297" s="2532">
        <v>660450133.50458503</v>
      </c>
      <c r="E3297" s="2533">
        <v>23849871.106530301</v>
      </c>
      <c r="F3297" s="2534">
        <v>100</v>
      </c>
      <c r="G3297" s="2535">
        <v>0</v>
      </c>
    </row>
    <row r="3298" spans="1:7" x14ac:dyDescent="0.3">
      <c r="A3298" s="6" t="s">
        <v>6354</v>
      </c>
      <c r="B3298" s="6" t="s">
        <v>6355</v>
      </c>
      <c r="C3298" s="2528">
        <v>74</v>
      </c>
      <c r="D3298" s="2528">
        <v>7062936.6415915396</v>
      </c>
      <c r="E3298" s="2529">
        <v>2202388.7697509001</v>
      </c>
      <c r="F3298" s="2530">
        <v>1.0580971305992299</v>
      </c>
      <c r="G3298" s="2531">
        <v>0.33508889974011202</v>
      </c>
    </row>
    <row r="3299" spans="1:7" x14ac:dyDescent="0.3">
      <c r="A3299" s="11" t="s">
        <v>6354</v>
      </c>
      <c r="B3299" s="11" t="s">
        <v>6356</v>
      </c>
      <c r="C3299" s="2532">
        <v>7512</v>
      </c>
      <c r="D3299" s="2532">
        <v>667513070.14617705</v>
      </c>
      <c r="E3299" s="2533">
        <v>0</v>
      </c>
      <c r="F3299" s="2534">
        <v>100</v>
      </c>
      <c r="G3299" s="2535">
        <v>0</v>
      </c>
    </row>
    <row r="3300" spans="1:7" x14ac:dyDescent="0.3">
      <c r="A3300" s="3449" t="s">
        <v>810</v>
      </c>
      <c r="B3300" s="3450"/>
      <c r="C3300" s="3450"/>
      <c r="D3300" s="3450"/>
      <c r="E3300" s="3450"/>
      <c r="F3300" s="3450"/>
      <c r="G3300" s="3450"/>
    </row>
    <row r="3301" spans="1:7" x14ac:dyDescent="0.3">
      <c r="A3301" s="11" t="s">
        <v>1219</v>
      </c>
      <c r="B3301" s="11"/>
      <c r="C3301" s="2540">
        <v>3962</v>
      </c>
      <c r="D3301" s="2540">
        <v>364746591.23070699</v>
      </c>
      <c r="E3301" s="2541">
        <v>10385942.0518487</v>
      </c>
      <c r="F3301" s="2542">
        <v>54.642614136503902</v>
      </c>
      <c r="G3301" s="2543">
        <v>2.1916741065140299</v>
      </c>
    </row>
    <row r="3302" spans="1:7" x14ac:dyDescent="0.3">
      <c r="A3302" s="6" t="s">
        <v>1021</v>
      </c>
      <c r="B3302" s="6"/>
      <c r="C3302" s="2536">
        <v>2097</v>
      </c>
      <c r="D3302" s="2536">
        <v>167182147.077241</v>
      </c>
      <c r="E3302" s="2537">
        <v>15313652.6208326</v>
      </c>
      <c r="F3302" s="2538">
        <v>25.045524133427101</v>
      </c>
      <c r="G3302" s="2539">
        <v>1.8331164622948299</v>
      </c>
    </row>
    <row r="3303" spans="1:7" x14ac:dyDescent="0.3">
      <c r="A3303" s="11" t="s">
        <v>1023</v>
      </c>
      <c r="B3303" s="11"/>
      <c r="C3303" s="2540">
        <v>804</v>
      </c>
      <c r="D3303" s="2540">
        <v>82161425.353907004</v>
      </c>
      <c r="E3303" s="2541">
        <v>9977008.9193484392</v>
      </c>
      <c r="F3303" s="2542">
        <v>12.3085867570974</v>
      </c>
      <c r="G3303" s="2543">
        <v>1.3650797533938701</v>
      </c>
    </row>
    <row r="3304" spans="1:7" x14ac:dyDescent="0.3">
      <c r="A3304" s="6" t="s">
        <v>1025</v>
      </c>
      <c r="B3304" s="6"/>
      <c r="C3304" s="2536">
        <v>343</v>
      </c>
      <c r="D3304" s="2536">
        <v>33111585.840561699</v>
      </c>
      <c r="E3304" s="2537">
        <v>11592850.4695621</v>
      </c>
      <c r="F3304" s="2538">
        <v>4.9604400754745601</v>
      </c>
      <c r="G3304" s="2539">
        <v>1.6460214463677201</v>
      </c>
    </row>
    <row r="3305" spans="1:7" x14ac:dyDescent="0.3">
      <c r="A3305" s="11" t="s">
        <v>1027</v>
      </c>
      <c r="B3305" s="11"/>
      <c r="C3305" s="2540">
        <v>179</v>
      </c>
      <c r="D3305" s="2540">
        <v>12568128.457778599</v>
      </c>
      <c r="E3305" s="2541">
        <v>2165909.4391963799</v>
      </c>
      <c r="F3305" s="2542">
        <v>1.8828288193707301</v>
      </c>
      <c r="G3305" s="2543">
        <v>0.30477865790542702</v>
      </c>
    </row>
    <row r="3306" spans="1:7" x14ac:dyDescent="0.3">
      <c r="A3306" s="6" t="s">
        <v>1029</v>
      </c>
      <c r="B3306" s="6"/>
      <c r="C3306" s="2536">
        <v>38</v>
      </c>
      <c r="D3306" s="2536">
        <v>3813908.8869943898</v>
      </c>
      <c r="E3306" s="2537">
        <v>2198869.13850566</v>
      </c>
      <c r="F3306" s="2538">
        <v>0.57136093023005297</v>
      </c>
      <c r="G3306" s="2539">
        <v>0.335877273952845</v>
      </c>
    </row>
    <row r="3307" spans="1:7" x14ac:dyDescent="0.3">
      <c r="A3307" s="11" t="s">
        <v>1031</v>
      </c>
      <c r="B3307" s="11"/>
      <c r="C3307" s="2540">
        <v>42</v>
      </c>
      <c r="D3307" s="2540">
        <v>1116354.0251688999</v>
      </c>
      <c r="E3307" s="2541">
        <v>770685.01272429503</v>
      </c>
      <c r="F3307" s="2542">
        <v>0.16724077401577001</v>
      </c>
      <c r="G3307" s="2543">
        <v>0.11665102326089299</v>
      </c>
    </row>
    <row r="3308" spans="1:7" x14ac:dyDescent="0.3">
      <c r="A3308" s="6" t="s">
        <v>1040</v>
      </c>
      <c r="B3308" s="6"/>
      <c r="C3308" s="2536">
        <v>29</v>
      </c>
      <c r="D3308" s="2536">
        <v>1085830.2854603999</v>
      </c>
      <c r="E3308" s="2537">
        <v>431702.330718679</v>
      </c>
      <c r="F3308" s="2538">
        <v>0.162668018653569</v>
      </c>
      <c r="G3308" s="2539">
        <v>6.43029652378308E-2</v>
      </c>
    </row>
    <row r="3309" spans="1:7" x14ac:dyDescent="0.3">
      <c r="A3309" s="11" t="s">
        <v>1042</v>
      </c>
      <c r="B3309" s="11"/>
      <c r="C3309" s="2540">
        <v>7</v>
      </c>
      <c r="D3309" s="2540">
        <v>602619.60957496602</v>
      </c>
      <c r="E3309" s="2541">
        <v>610500.79809409403</v>
      </c>
      <c r="F3309" s="2542">
        <v>9.0278323605408703E-2</v>
      </c>
      <c r="G3309" s="2543">
        <v>9.1040352767722404E-2</v>
      </c>
    </row>
    <row r="3310" spans="1:7" x14ac:dyDescent="0.3">
      <c r="A3310" s="6" t="s">
        <v>1061</v>
      </c>
      <c r="B3310" s="6"/>
      <c r="C3310" s="2536">
        <v>2</v>
      </c>
      <c r="D3310" s="2536">
        <v>321837.99327077402</v>
      </c>
      <c r="E3310" s="2537">
        <v>340569.79921877099</v>
      </c>
      <c r="F3310" s="2538">
        <v>4.8214485628018403E-2</v>
      </c>
      <c r="G3310" s="2539">
        <v>5.0743538730339502E-2</v>
      </c>
    </row>
    <row r="3311" spans="1:7" x14ac:dyDescent="0.3">
      <c r="A3311" s="11" t="s">
        <v>3134</v>
      </c>
      <c r="B3311" s="11"/>
      <c r="C3311" s="2540">
        <v>2</v>
      </c>
      <c r="D3311" s="2540">
        <v>200654.64300221999</v>
      </c>
      <c r="E3311" s="2541">
        <v>207391.688457221</v>
      </c>
      <c r="F3311" s="2542">
        <v>3.0060032076717001E-2</v>
      </c>
      <c r="G3311" s="2543">
        <v>3.0765993550717199E-2</v>
      </c>
    </row>
    <row r="3312" spans="1:7" x14ac:dyDescent="0.3">
      <c r="A3312" s="6" t="s">
        <v>1222</v>
      </c>
      <c r="B3312" s="6"/>
      <c r="C3312" s="2536">
        <v>1</v>
      </c>
      <c r="D3312" s="2536">
        <v>172822.17869049701</v>
      </c>
      <c r="E3312" s="2537">
        <v>200750.21440999999</v>
      </c>
      <c r="F3312" s="2538">
        <v>2.5890456145323201E-2</v>
      </c>
      <c r="G3312" s="2539">
        <v>2.97354436899132E-2</v>
      </c>
    </row>
    <row r="3313" spans="1:7" x14ac:dyDescent="0.3">
      <c r="A3313" s="11" t="s">
        <v>1065</v>
      </c>
      <c r="B3313" s="11"/>
      <c r="C3313" s="2540">
        <v>3</v>
      </c>
      <c r="D3313" s="2540">
        <v>169098.21786095199</v>
      </c>
      <c r="E3313" s="2541">
        <v>137367.969877442</v>
      </c>
      <c r="F3313" s="2542">
        <v>2.53325703156526E-2</v>
      </c>
      <c r="G3313" s="2543">
        <v>2.0306669701000899E-2</v>
      </c>
    </row>
    <row r="3314" spans="1:7" x14ac:dyDescent="0.3">
      <c r="A3314" s="6" t="s">
        <v>1069</v>
      </c>
      <c r="B3314" s="6"/>
      <c r="C3314" s="2536">
        <v>2</v>
      </c>
      <c r="D3314" s="2536">
        <v>127902.65497106301</v>
      </c>
      <c r="E3314" s="2537">
        <v>130959.920039727</v>
      </c>
      <c r="F3314" s="2538">
        <v>1.9161071249594201E-2</v>
      </c>
      <c r="G3314" s="2539">
        <v>1.94262616038774E-2</v>
      </c>
    </row>
    <row r="3315" spans="1:7" x14ac:dyDescent="0.3">
      <c r="A3315" s="11" t="s">
        <v>1224</v>
      </c>
      <c r="B3315" s="11"/>
      <c r="C3315" s="2540">
        <v>2</v>
      </c>
      <c r="D3315" s="2540">
        <v>89055.864581036396</v>
      </c>
      <c r="E3315" s="2541">
        <v>94116.313099150706</v>
      </c>
      <c r="F3315" s="2542">
        <v>1.33414413236184E-2</v>
      </c>
      <c r="G3315" s="2543">
        <v>1.40297475363509E-2</v>
      </c>
    </row>
    <row r="3316" spans="1:7" x14ac:dyDescent="0.3">
      <c r="A3316" s="6" t="s">
        <v>1075</v>
      </c>
      <c r="B3316" s="6"/>
      <c r="C3316" s="2536">
        <v>1</v>
      </c>
      <c r="D3316" s="2536">
        <v>32541.572746443599</v>
      </c>
      <c r="E3316" s="2537">
        <v>34609.824805952601</v>
      </c>
      <c r="F3316" s="2538">
        <v>4.8750465274511098E-3</v>
      </c>
      <c r="G3316" s="2539">
        <v>5.1265396404639599E-3</v>
      </c>
    </row>
    <row r="3317" spans="1:7" x14ac:dyDescent="0.3">
      <c r="A3317" s="11" t="s">
        <v>3099</v>
      </c>
      <c r="B3317" s="11"/>
      <c r="C3317" s="2540">
        <v>1</v>
      </c>
      <c r="D3317" s="2540">
        <v>10566.253661819001</v>
      </c>
      <c r="E3317" s="2541">
        <v>10950.0882240848</v>
      </c>
      <c r="F3317" s="2542">
        <v>1.5829283551714E-3</v>
      </c>
      <c r="G3317" s="2543">
        <v>1.63346763645579E-3</v>
      </c>
    </row>
    <row r="3318" spans="1:7" x14ac:dyDescent="0.3">
      <c r="A3318" s="6" t="s">
        <v>6354</v>
      </c>
      <c r="B3318" s="6" t="s">
        <v>6355</v>
      </c>
      <c r="C3318" s="2536">
        <v>7515</v>
      </c>
      <c r="D3318" s="2536">
        <v>667513070.14617896</v>
      </c>
      <c r="E3318" s="2537">
        <v>23529830.745546099</v>
      </c>
      <c r="F3318" s="2538">
        <v>100</v>
      </c>
      <c r="G3318" s="2539">
        <v>2.29838001744816E-14</v>
      </c>
    </row>
    <row r="3319" spans="1:7" x14ac:dyDescent="0.3">
      <c r="A3319" s="11" t="s">
        <v>6354</v>
      </c>
      <c r="B3319" s="11" t="s">
        <v>6356</v>
      </c>
      <c r="C3319" s="2540">
        <v>7515</v>
      </c>
      <c r="D3319" s="2540">
        <v>667513070.14617896</v>
      </c>
      <c r="E3319" s="2541">
        <v>0</v>
      </c>
      <c r="F3319" s="2542">
        <v>100</v>
      </c>
      <c r="G3319" s="2543">
        <v>0</v>
      </c>
    </row>
    <row r="3320" spans="1:7" x14ac:dyDescent="0.3">
      <c r="A3320" s="3449" t="s">
        <v>812</v>
      </c>
      <c r="B3320" s="3450"/>
      <c r="C3320" s="3450"/>
      <c r="D3320" s="3450"/>
      <c r="E3320" s="3450"/>
      <c r="F3320" s="3450"/>
      <c r="G3320" s="3450"/>
    </row>
    <row r="3321" spans="1:7" x14ac:dyDescent="0.3">
      <c r="A3321" s="11" t="s">
        <v>1219</v>
      </c>
      <c r="B3321" s="11"/>
      <c r="C3321" s="2548">
        <v>4916</v>
      </c>
      <c r="D3321" s="2548">
        <v>446644937.76399499</v>
      </c>
      <c r="E3321" s="2549">
        <v>13555028.066284699</v>
      </c>
      <c r="F3321" s="2550">
        <v>66.911789107917301</v>
      </c>
      <c r="G3321" s="2551">
        <v>1.73900457885524</v>
      </c>
    </row>
    <row r="3322" spans="1:7" x14ac:dyDescent="0.3">
      <c r="A3322" s="6" t="s">
        <v>1021</v>
      </c>
      <c r="B3322" s="6"/>
      <c r="C3322" s="2544">
        <v>1719</v>
      </c>
      <c r="D3322" s="2544">
        <v>130754623.617347</v>
      </c>
      <c r="E3322" s="2545">
        <v>13304483.3532035</v>
      </c>
      <c r="F3322" s="2546">
        <v>19.588324104082702</v>
      </c>
      <c r="G3322" s="2547">
        <v>1.8240036349606199</v>
      </c>
    </row>
    <row r="3323" spans="1:7" x14ac:dyDescent="0.3">
      <c r="A3323" s="11" t="s">
        <v>1023</v>
      </c>
      <c r="B3323" s="11"/>
      <c r="C3323" s="2548">
        <v>511</v>
      </c>
      <c r="D3323" s="2548">
        <v>60413655.738630302</v>
      </c>
      <c r="E3323" s="2549">
        <v>13488116.9792061</v>
      </c>
      <c r="F3323" s="2550">
        <v>9.0505577254689999</v>
      </c>
      <c r="G3323" s="2551">
        <v>1.8890541506446601</v>
      </c>
    </row>
    <row r="3324" spans="1:7" x14ac:dyDescent="0.3">
      <c r="A3324" s="6" t="s">
        <v>1025</v>
      </c>
      <c r="B3324" s="6"/>
      <c r="C3324" s="2544">
        <v>216</v>
      </c>
      <c r="D3324" s="2544">
        <v>19460017.9610742</v>
      </c>
      <c r="E3324" s="2545">
        <v>10064527.1568607</v>
      </c>
      <c r="F3324" s="2546">
        <v>2.9153014122723699</v>
      </c>
      <c r="G3324" s="2547">
        <v>1.4805085362506301</v>
      </c>
    </row>
    <row r="3325" spans="1:7" x14ac:dyDescent="0.3">
      <c r="A3325" s="11" t="s">
        <v>1027</v>
      </c>
      <c r="B3325" s="11"/>
      <c r="C3325" s="2548">
        <v>142</v>
      </c>
      <c r="D3325" s="2548">
        <v>7089784.7009975798</v>
      </c>
      <c r="E3325" s="2549">
        <v>2206867.6822537002</v>
      </c>
      <c r="F3325" s="2550">
        <v>1.0621192330278999</v>
      </c>
      <c r="G3325" s="2551">
        <v>0.33419729031913198</v>
      </c>
    </row>
    <row r="3326" spans="1:7" x14ac:dyDescent="0.3">
      <c r="A3326" s="6" t="s">
        <v>1029</v>
      </c>
      <c r="B3326" s="6"/>
      <c r="C3326" s="2544">
        <v>11</v>
      </c>
      <c r="D3326" s="2544">
        <v>3150050.3641352099</v>
      </c>
      <c r="E3326" s="2545">
        <v>2375254.1406898499</v>
      </c>
      <c r="F3326" s="2546">
        <v>0.471908417230749</v>
      </c>
      <c r="G3326" s="2547">
        <v>0.35915229390881498</v>
      </c>
    </row>
    <row r="3327" spans="1:7" x14ac:dyDescent="0.3">
      <c r="A3327" s="11" t="s">
        <v>6354</v>
      </c>
      <c r="B3327" s="11" t="s">
        <v>6355</v>
      </c>
      <c r="C3327" s="2548">
        <v>7515</v>
      </c>
      <c r="D3327" s="2548">
        <v>667513070.14617896</v>
      </c>
      <c r="E3327" s="2549">
        <v>23529830.745545302</v>
      </c>
      <c r="F3327" s="2550">
        <v>100</v>
      </c>
      <c r="G3327" s="2551">
        <v>1.78031750616652E-14</v>
      </c>
    </row>
    <row r="3328" spans="1:7" x14ac:dyDescent="0.3">
      <c r="A3328" s="6" t="s">
        <v>6354</v>
      </c>
      <c r="B3328" s="6" t="s">
        <v>6356</v>
      </c>
      <c r="C3328" s="2544">
        <v>7515</v>
      </c>
      <c r="D3328" s="2544">
        <v>667513070.14617896</v>
      </c>
      <c r="E3328" s="2545">
        <v>0</v>
      </c>
      <c r="F3328" s="2546">
        <v>100</v>
      </c>
      <c r="G3328" s="2547">
        <v>0</v>
      </c>
    </row>
    <row r="3329" spans="1:7" x14ac:dyDescent="0.3">
      <c r="A3329" s="3449" t="s">
        <v>849</v>
      </c>
      <c r="B3329" s="3450"/>
      <c r="C3329" s="3450"/>
      <c r="D3329" s="3450"/>
      <c r="E3329" s="3450"/>
      <c r="F3329" s="3450"/>
      <c r="G3329" s="3450"/>
    </row>
    <row r="3330" spans="1:7" x14ac:dyDescent="0.3">
      <c r="A3330" s="11" t="s">
        <v>1021</v>
      </c>
      <c r="B3330" s="11" t="s">
        <v>6184</v>
      </c>
      <c r="C3330" s="2556">
        <v>4003</v>
      </c>
      <c r="D3330" s="2556">
        <v>345360134.36173999</v>
      </c>
      <c r="E3330" s="2557">
        <v>13686195.131979199</v>
      </c>
      <c r="F3330" s="2558">
        <v>58.727519095864203</v>
      </c>
      <c r="G3330" s="2559">
        <v>1.82911690790499</v>
      </c>
    </row>
    <row r="3331" spans="1:7" x14ac:dyDescent="0.3">
      <c r="A3331" s="6" t="s">
        <v>1023</v>
      </c>
      <c r="B3331" s="6" t="s">
        <v>6185</v>
      </c>
      <c r="C3331" s="2552">
        <v>1852</v>
      </c>
      <c r="D3331" s="2552">
        <v>156511214.619955</v>
      </c>
      <c r="E3331" s="2553">
        <v>15218969.098288501</v>
      </c>
      <c r="F3331" s="2554">
        <v>26.614291664835999</v>
      </c>
      <c r="G3331" s="2555">
        <v>2.33036938855988</v>
      </c>
    </row>
    <row r="3332" spans="1:7" x14ac:dyDescent="0.3">
      <c r="A3332" s="11" t="s">
        <v>1025</v>
      </c>
      <c r="B3332" s="11" t="s">
        <v>6186</v>
      </c>
      <c r="C3332" s="2556">
        <v>501</v>
      </c>
      <c r="D3332" s="2556">
        <v>45492030.327440001</v>
      </c>
      <c r="E3332" s="2557">
        <v>7804100.0177713996</v>
      </c>
      <c r="F3332" s="2558">
        <v>7.7357917546036896</v>
      </c>
      <c r="G3332" s="2559">
        <v>1.2474723905599401</v>
      </c>
    </row>
    <row r="3333" spans="1:7" x14ac:dyDescent="0.3">
      <c r="A3333" s="6" t="s">
        <v>1052</v>
      </c>
      <c r="B3333" s="6" t="s">
        <v>6196</v>
      </c>
      <c r="C3333" s="2552">
        <v>326</v>
      </c>
      <c r="D3333" s="2552">
        <v>28106776.772864401</v>
      </c>
      <c r="E3333" s="2553">
        <v>5624104.1290471703</v>
      </c>
      <c r="F3333" s="2554">
        <v>4.7794783051672596</v>
      </c>
      <c r="G3333" s="2555">
        <v>0.77561731792523403</v>
      </c>
    </row>
    <row r="3334" spans="1:7" x14ac:dyDescent="0.3">
      <c r="A3334" s="11" t="s">
        <v>1027</v>
      </c>
      <c r="B3334" s="11" t="s">
        <v>6187</v>
      </c>
      <c r="C3334" s="2556">
        <v>122</v>
      </c>
      <c r="D3334" s="2556">
        <v>9816685.6328445002</v>
      </c>
      <c r="E3334" s="2557">
        <v>3926790.8005159898</v>
      </c>
      <c r="F3334" s="2558">
        <v>1.66929977030041</v>
      </c>
      <c r="G3334" s="2559">
        <v>0.61619936741691095</v>
      </c>
    </row>
    <row r="3335" spans="1:7" x14ac:dyDescent="0.3">
      <c r="A3335" s="6" t="s">
        <v>1029</v>
      </c>
      <c r="B3335" s="6" t="s">
        <v>6188</v>
      </c>
      <c r="C3335" s="2552">
        <v>31</v>
      </c>
      <c r="D3335" s="2552">
        <v>2207358.3261155002</v>
      </c>
      <c r="E3335" s="2553">
        <v>1331394.4243261099</v>
      </c>
      <c r="F3335" s="2554">
        <v>0.37535507243167199</v>
      </c>
      <c r="G3335" s="2555">
        <v>0.228960318139698</v>
      </c>
    </row>
    <row r="3336" spans="1:7" x14ac:dyDescent="0.3">
      <c r="A3336" s="11" t="s">
        <v>1031</v>
      </c>
      <c r="B3336" s="11" t="s">
        <v>6189</v>
      </c>
      <c r="C3336" s="2556">
        <v>6</v>
      </c>
      <c r="D3336" s="2556">
        <v>307021.60473308602</v>
      </c>
      <c r="E3336" s="2557">
        <v>324297.126933244</v>
      </c>
      <c r="F3336" s="2558">
        <v>5.2208160007024502E-2</v>
      </c>
      <c r="G3336" s="2559">
        <v>5.5022831184816698E-2</v>
      </c>
    </row>
    <row r="3337" spans="1:7" x14ac:dyDescent="0.3">
      <c r="A3337" s="6" t="s">
        <v>1042</v>
      </c>
      <c r="B3337" s="6" t="s">
        <v>6191</v>
      </c>
      <c r="C3337" s="2552">
        <v>3</v>
      </c>
      <c r="D3337" s="2552">
        <v>182402.780171766</v>
      </c>
      <c r="E3337" s="2553">
        <v>182739.190044574</v>
      </c>
      <c r="F3337" s="2554">
        <v>3.1017079534883401E-2</v>
      </c>
      <c r="G3337" s="2555">
        <v>3.1231392825151701E-2</v>
      </c>
    </row>
    <row r="3338" spans="1:7" x14ac:dyDescent="0.3">
      <c r="A3338" s="11" t="s">
        <v>1063</v>
      </c>
      <c r="B3338" s="11" t="s">
        <v>6193</v>
      </c>
      <c r="C3338" s="2556">
        <v>5</v>
      </c>
      <c r="D3338" s="2556">
        <v>88440.729807026495</v>
      </c>
      <c r="E3338" s="2557">
        <v>95096.752621679494</v>
      </c>
      <c r="F3338" s="2558">
        <v>1.5039097254792201E-2</v>
      </c>
      <c r="G3338" s="2559">
        <v>1.6191939467310901E-2</v>
      </c>
    </row>
    <row r="3339" spans="1:7" x14ac:dyDescent="0.3">
      <c r="A3339" s="6" t="s">
        <v>1019</v>
      </c>
      <c r="B3339" s="6" t="s">
        <v>1020</v>
      </c>
      <c r="C3339" s="2552">
        <v>654</v>
      </c>
      <c r="D3339" s="2552">
        <v>78403792.977504507</v>
      </c>
      <c r="E3339" s="2553">
        <v>10035967.166436801</v>
      </c>
      <c r="F3339" s="2554">
        <v>98.694361919104793</v>
      </c>
      <c r="G3339" s="2555">
        <v>0.58146618629049196</v>
      </c>
    </row>
    <row r="3340" spans="1:7" x14ac:dyDescent="0.3">
      <c r="A3340" s="11" t="s">
        <v>1044</v>
      </c>
      <c r="B3340" s="11" t="s">
        <v>1045</v>
      </c>
      <c r="C3340" s="2556">
        <v>12</v>
      </c>
      <c r="D3340" s="2556">
        <v>1037212.0130019</v>
      </c>
      <c r="E3340" s="2557">
        <v>432613.26373866299</v>
      </c>
      <c r="F3340" s="2558">
        <v>1.30563808089519</v>
      </c>
      <c r="G3340" s="2559">
        <v>0.58146618629048097</v>
      </c>
    </row>
    <row r="3341" spans="1:7" x14ac:dyDescent="0.3">
      <c r="A3341" s="6" t="s">
        <v>6354</v>
      </c>
      <c r="B3341" s="6" t="s">
        <v>6355</v>
      </c>
      <c r="C3341" s="2552">
        <v>6849</v>
      </c>
      <c r="D3341" s="2552">
        <v>588072065.155671</v>
      </c>
      <c r="E3341" s="2553">
        <v>26706307.8197225</v>
      </c>
      <c r="F3341" s="2554">
        <v>88.098958875350604</v>
      </c>
      <c r="G3341" s="2555">
        <v>1.5940331880193199</v>
      </c>
    </row>
    <row r="3342" spans="1:7" x14ac:dyDescent="0.3">
      <c r="A3342" s="11" t="s">
        <v>6354</v>
      </c>
      <c r="B3342" s="11" t="s">
        <v>6356</v>
      </c>
      <c r="C3342" s="2556">
        <v>7515</v>
      </c>
      <c r="D3342" s="2556">
        <v>667513070.14617801</v>
      </c>
      <c r="E3342" s="2557">
        <v>0</v>
      </c>
      <c r="F3342" s="2558">
        <v>100</v>
      </c>
      <c r="G3342" s="2559">
        <v>0</v>
      </c>
    </row>
    <row r="3343" spans="1:7" x14ac:dyDescent="0.3">
      <c r="A3343" s="3449" t="s">
        <v>833</v>
      </c>
      <c r="B3343" s="3450"/>
      <c r="C3343" s="3450"/>
      <c r="D3343" s="3450"/>
      <c r="E3343" s="3450"/>
      <c r="F3343" s="3450"/>
      <c r="G3343" s="3450"/>
    </row>
    <row r="3344" spans="1:7" x14ac:dyDescent="0.3">
      <c r="A3344" s="11" t="s">
        <v>1063</v>
      </c>
      <c r="B3344" s="11"/>
      <c r="C3344" s="2564">
        <v>10</v>
      </c>
      <c r="D3344" s="2564">
        <v>2054413.9311776501</v>
      </c>
      <c r="E3344" s="2565">
        <v>1292971.19340019</v>
      </c>
      <c r="F3344" s="2566">
        <v>26.690068863065999</v>
      </c>
      <c r="G3344" s="2567">
        <v>11.503749385596</v>
      </c>
    </row>
    <row r="3345" spans="1:7" x14ac:dyDescent="0.3">
      <c r="A3345" s="6" t="s">
        <v>1067</v>
      </c>
      <c r="B3345" s="6"/>
      <c r="C3345" s="2560">
        <v>5</v>
      </c>
      <c r="D3345" s="2560">
        <v>1245878.97421708</v>
      </c>
      <c r="E3345" s="2561">
        <v>1348779.7519791401</v>
      </c>
      <c r="F3345" s="2562">
        <v>16.1859278270366</v>
      </c>
      <c r="G3345" s="2563">
        <v>18.1815303616665</v>
      </c>
    </row>
    <row r="3346" spans="1:7" x14ac:dyDescent="0.3">
      <c r="A3346" s="11" t="s">
        <v>6361</v>
      </c>
      <c r="B3346" s="11"/>
      <c r="C3346" s="2564">
        <v>5</v>
      </c>
      <c r="D3346" s="2564">
        <v>1001935.99424043</v>
      </c>
      <c r="E3346" s="2565">
        <v>488346.81381752202</v>
      </c>
      <c r="F3346" s="2566">
        <v>13.0167247587405</v>
      </c>
      <c r="G3346" s="2567">
        <v>6.57164619360511</v>
      </c>
    </row>
    <row r="3347" spans="1:7" x14ac:dyDescent="0.3">
      <c r="A3347" s="6" t="s">
        <v>1224</v>
      </c>
      <c r="B3347" s="6"/>
      <c r="C3347" s="2560">
        <v>5</v>
      </c>
      <c r="D3347" s="2560">
        <v>724913.39397260803</v>
      </c>
      <c r="E3347" s="2561">
        <v>742311.36558294995</v>
      </c>
      <c r="F3347" s="2562">
        <v>9.4177653837252695</v>
      </c>
      <c r="G3347" s="2563">
        <v>8.0975953512547001</v>
      </c>
    </row>
    <row r="3348" spans="1:7" x14ac:dyDescent="0.3">
      <c r="A3348" s="11" t="s">
        <v>1073</v>
      </c>
      <c r="B3348" s="11"/>
      <c r="C3348" s="2564">
        <v>4</v>
      </c>
      <c r="D3348" s="2564">
        <v>642362.79231695901</v>
      </c>
      <c r="E3348" s="2565">
        <v>347274.08783709502</v>
      </c>
      <c r="F3348" s="2566">
        <v>8.3453032039084594</v>
      </c>
      <c r="G3348" s="2567">
        <v>2.8468009450076002</v>
      </c>
    </row>
    <row r="3349" spans="1:7" x14ac:dyDescent="0.3">
      <c r="A3349" s="6" t="s">
        <v>1219</v>
      </c>
      <c r="B3349" s="6"/>
      <c r="C3349" s="2560">
        <v>3</v>
      </c>
      <c r="D3349" s="2560">
        <v>370680.006843223</v>
      </c>
      <c r="E3349" s="2561">
        <v>198094.23553811299</v>
      </c>
      <c r="F3349" s="2562">
        <v>4.8157164233870704</v>
      </c>
      <c r="G3349" s="2563">
        <v>3.0021789080125298</v>
      </c>
    </row>
    <row r="3350" spans="1:7" x14ac:dyDescent="0.3">
      <c r="A3350" s="11" t="s">
        <v>3099</v>
      </c>
      <c r="B3350" s="11"/>
      <c r="C3350" s="2564">
        <v>2</v>
      </c>
      <c r="D3350" s="2564">
        <v>364218.31864897901</v>
      </c>
      <c r="E3350" s="2565">
        <v>273589.0895683</v>
      </c>
      <c r="F3350" s="2566">
        <v>4.7317689285522899</v>
      </c>
      <c r="G3350" s="2567">
        <v>4.5344673291769597</v>
      </c>
    </row>
    <row r="3351" spans="1:7" x14ac:dyDescent="0.3">
      <c r="A3351" s="6" t="s">
        <v>6359</v>
      </c>
      <c r="B3351" s="6"/>
      <c r="C3351" s="2560">
        <v>1</v>
      </c>
      <c r="D3351" s="2560">
        <v>203427.32734131499</v>
      </c>
      <c r="E3351" s="2561">
        <v>218745.72618788999</v>
      </c>
      <c r="F3351" s="2562">
        <v>2.6428410034470602</v>
      </c>
      <c r="G3351" s="2563">
        <v>2.8839671048566302</v>
      </c>
    </row>
    <row r="3352" spans="1:7" x14ac:dyDescent="0.3">
      <c r="A3352" s="11" t="s">
        <v>6360</v>
      </c>
      <c r="B3352" s="11"/>
      <c r="C3352" s="2564">
        <v>1</v>
      </c>
      <c r="D3352" s="2564">
        <v>200874.504789848</v>
      </c>
      <c r="E3352" s="2565">
        <v>222802.48414499199</v>
      </c>
      <c r="F3352" s="2566">
        <v>2.60967582253594</v>
      </c>
      <c r="G3352" s="2567">
        <v>3.1859659994825802</v>
      </c>
    </row>
    <row r="3353" spans="1:7" x14ac:dyDescent="0.3">
      <c r="A3353" s="6" t="s">
        <v>1222</v>
      </c>
      <c r="B3353" s="6"/>
      <c r="C3353" s="2560">
        <v>2</v>
      </c>
      <c r="D3353" s="2560">
        <v>200308.012335518</v>
      </c>
      <c r="E3353" s="2561">
        <v>213803.265452238</v>
      </c>
      <c r="F3353" s="2562">
        <v>2.60231619437775</v>
      </c>
      <c r="G3353" s="2563">
        <v>3.11129354933085</v>
      </c>
    </row>
    <row r="3354" spans="1:7" x14ac:dyDescent="0.3">
      <c r="A3354" s="11" t="s">
        <v>6364</v>
      </c>
      <c r="B3354" s="11"/>
      <c r="C3354" s="2564">
        <v>1</v>
      </c>
      <c r="D3354" s="2564">
        <v>198777.712825347</v>
      </c>
      <c r="E3354" s="2565">
        <v>203908.909847006</v>
      </c>
      <c r="F3354" s="2566">
        <v>2.58243519635309</v>
      </c>
      <c r="G3354" s="2567">
        <v>2.5629391793677399</v>
      </c>
    </row>
    <row r="3355" spans="1:7" x14ac:dyDescent="0.3">
      <c r="A3355" s="6" t="s">
        <v>3142</v>
      </c>
      <c r="B3355" s="6"/>
      <c r="C3355" s="2560">
        <v>1</v>
      </c>
      <c r="D3355" s="2560">
        <v>181869.77831879599</v>
      </c>
      <c r="E3355" s="2561">
        <v>191101.29409579301</v>
      </c>
      <c r="F3355" s="2562">
        <v>2.36277452843045</v>
      </c>
      <c r="G3355" s="2563">
        <v>2.5768612899924301</v>
      </c>
    </row>
    <row r="3356" spans="1:7" x14ac:dyDescent="0.3">
      <c r="A3356" s="11" t="s">
        <v>6358</v>
      </c>
      <c r="B3356" s="11"/>
      <c r="C3356" s="2564">
        <v>1</v>
      </c>
      <c r="D3356" s="2564">
        <v>132576.94200004701</v>
      </c>
      <c r="E3356" s="2565">
        <v>139661.16104593701</v>
      </c>
      <c r="F3356" s="2566">
        <v>1.7223830397254001</v>
      </c>
      <c r="G3356" s="2567">
        <v>2.3988760450809101</v>
      </c>
    </row>
    <row r="3357" spans="1:7" x14ac:dyDescent="0.3">
      <c r="A3357" s="6" t="s">
        <v>1226</v>
      </c>
      <c r="B3357" s="6"/>
      <c r="C3357" s="2560">
        <v>1</v>
      </c>
      <c r="D3357" s="2560">
        <v>120949.37746266399</v>
      </c>
      <c r="E3357" s="2561">
        <v>157789.183217507</v>
      </c>
      <c r="F3357" s="2562">
        <v>1.57132268450545</v>
      </c>
      <c r="G3357" s="2563">
        <v>1.9754507082583801</v>
      </c>
    </row>
    <row r="3358" spans="1:7" x14ac:dyDescent="0.3">
      <c r="A3358" s="11" t="s">
        <v>1230</v>
      </c>
      <c r="B3358" s="11"/>
      <c r="C3358" s="2564">
        <v>1</v>
      </c>
      <c r="D3358" s="2564">
        <v>54110.163119045101</v>
      </c>
      <c r="E3358" s="2565">
        <v>56143.888252984201</v>
      </c>
      <c r="F3358" s="2566">
        <v>0.70297614220868798</v>
      </c>
      <c r="G3358" s="2567">
        <v>0.76283030665728802</v>
      </c>
    </row>
    <row r="3359" spans="1:7" x14ac:dyDescent="0.3">
      <c r="A3359" s="6" t="s">
        <v>1019</v>
      </c>
      <c r="B3359" s="6" t="s">
        <v>1020</v>
      </c>
      <c r="C3359" s="2560">
        <v>7470</v>
      </c>
      <c r="D3359" s="2560">
        <v>659815772.91656804</v>
      </c>
      <c r="E3359" s="2561">
        <v>24519737.6956832</v>
      </c>
      <c r="F3359" s="2562">
        <v>100</v>
      </c>
      <c r="G3359" s="2563">
        <v>0</v>
      </c>
    </row>
    <row r="3360" spans="1:7" x14ac:dyDescent="0.3">
      <c r="A3360" s="11" t="s">
        <v>6354</v>
      </c>
      <c r="B3360" s="11" t="s">
        <v>6355</v>
      </c>
      <c r="C3360" s="2564">
        <v>43</v>
      </c>
      <c r="D3360" s="2564">
        <v>7697297.2296095099</v>
      </c>
      <c r="E3360" s="2565">
        <v>2948640.8249645201</v>
      </c>
      <c r="F3360" s="2566">
        <v>1.1531305638590601</v>
      </c>
      <c r="G3360" s="2567">
        <v>0.45085649581148801</v>
      </c>
    </row>
    <row r="3361" spans="1:7" x14ac:dyDescent="0.3">
      <c r="A3361" s="6" t="s">
        <v>6354</v>
      </c>
      <c r="B3361" s="6" t="s">
        <v>6356</v>
      </c>
      <c r="C3361" s="2560">
        <v>7513</v>
      </c>
      <c r="D3361" s="2560">
        <v>667513070.14617705</v>
      </c>
      <c r="E3361" s="2561">
        <v>0</v>
      </c>
      <c r="F3361" s="2562">
        <v>100</v>
      </c>
      <c r="G3361" s="2563">
        <v>0</v>
      </c>
    </row>
    <row r="3362" spans="1:7" x14ac:dyDescent="0.3">
      <c r="A3362" s="3449" t="s">
        <v>454</v>
      </c>
      <c r="B3362" s="3450"/>
      <c r="C3362" s="3450"/>
      <c r="D3362" s="3450"/>
      <c r="E3362" s="3450"/>
      <c r="F3362" s="3450"/>
      <c r="G3362" s="3450"/>
    </row>
    <row r="3363" spans="1:7" x14ac:dyDescent="0.3">
      <c r="A3363" s="11" t="s">
        <v>1219</v>
      </c>
      <c r="B3363" s="11"/>
      <c r="C3363" s="2572">
        <v>21</v>
      </c>
      <c r="D3363" s="2572">
        <v>3465098.8366900398</v>
      </c>
      <c r="E3363" s="2573">
        <v>1879585.8936382399</v>
      </c>
      <c r="F3363" s="2574">
        <v>45.017085001741997</v>
      </c>
      <c r="G3363" s="2575">
        <v>19.799147059159001</v>
      </c>
    </row>
    <row r="3364" spans="1:7" x14ac:dyDescent="0.3">
      <c r="A3364" s="6" t="s">
        <v>6357</v>
      </c>
      <c r="B3364" s="6"/>
      <c r="C3364" s="2568">
        <v>18</v>
      </c>
      <c r="D3364" s="2568">
        <v>3457354.1179736499</v>
      </c>
      <c r="E3364" s="2569">
        <v>2316293.6022326099</v>
      </c>
      <c r="F3364" s="2570">
        <v>44.916468922027697</v>
      </c>
      <c r="G3364" s="2571">
        <v>21.758312167993399</v>
      </c>
    </row>
    <row r="3365" spans="1:7" x14ac:dyDescent="0.3">
      <c r="A3365" s="11" t="s">
        <v>6358</v>
      </c>
      <c r="B3365" s="11"/>
      <c r="C3365" s="2572">
        <v>3</v>
      </c>
      <c r="D3365" s="2572">
        <v>447023.66231888998</v>
      </c>
      <c r="E3365" s="2573">
        <v>279467.07016648399</v>
      </c>
      <c r="F3365" s="2574">
        <v>5.8075406078812497</v>
      </c>
      <c r="G3365" s="2575">
        <v>5.8751338191435201</v>
      </c>
    </row>
    <row r="3366" spans="1:7" x14ac:dyDescent="0.3">
      <c r="A3366" s="6" t="s">
        <v>6359</v>
      </c>
      <c r="B3366" s="6"/>
      <c r="C3366" s="2568">
        <v>2</v>
      </c>
      <c r="D3366" s="2568">
        <v>327820.61262692203</v>
      </c>
      <c r="E3366" s="2569">
        <v>324200.54949244298</v>
      </c>
      <c r="F3366" s="2570">
        <v>4.2589054683490897</v>
      </c>
      <c r="G3366" s="2571">
        <v>4.7562753069234898</v>
      </c>
    </row>
    <row r="3367" spans="1:7" x14ac:dyDescent="0.3">
      <c r="A3367" s="11" t="s">
        <v>1019</v>
      </c>
      <c r="B3367" s="11" t="s">
        <v>1020</v>
      </c>
      <c r="C3367" s="2572">
        <v>7470</v>
      </c>
      <c r="D3367" s="2572">
        <v>659815772.91656804</v>
      </c>
      <c r="E3367" s="2573">
        <v>24519737.6956832</v>
      </c>
      <c r="F3367" s="2574">
        <v>100</v>
      </c>
      <c r="G3367" s="2575">
        <v>0</v>
      </c>
    </row>
    <row r="3368" spans="1:7" x14ac:dyDescent="0.3">
      <c r="A3368" s="6" t="s">
        <v>6354</v>
      </c>
      <c r="B3368" s="6" t="s">
        <v>6355</v>
      </c>
      <c r="C3368" s="2568">
        <v>44</v>
      </c>
      <c r="D3368" s="2568">
        <v>7697297.2296094997</v>
      </c>
      <c r="E3368" s="2569">
        <v>2948640.8249645201</v>
      </c>
      <c r="F3368" s="2570">
        <v>1.1531305638590601</v>
      </c>
      <c r="G3368" s="2571">
        <v>0.45085649581148801</v>
      </c>
    </row>
    <row r="3369" spans="1:7" x14ac:dyDescent="0.3">
      <c r="A3369" s="11" t="s">
        <v>6354</v>
      </c>
      <c r="B3369" s="11" t="s">
        <v>6356</v>
      </c>
      <c r="C3369" s="2572">
        <v>7514</v>
      </c>
      <c r="D3369" s="2572">
        <v>667513070.14617705</v>
      </c>
      <c r="E3369" s="2573">
        <v>0</v>
      </c>
      <c r="F3369" s="2574">
        <v>100</v>
      </c>
      <c r="G3369" s="2575">
        <v>0</v>
      </c>
    </row>
    <row r="3370" spans="1:7" x14ac:dyDescent="0.3">
      <c r="A3370" s="3449" t="s">
        <v>746</v>
      </c>
      <c r="B3370" s="3450"/>
      <c r="C3370" s="3450"/>
      <c r="D3370" s="3450"/>
      <c r="E3370" s="3450"/>
      <c r="F3370" s="3450"/>
      <c r="G3370" s="3450"/>
    </row>
    <row r="3371" spans="1:7" x14ac:dyDescent="0.3">
      <c r="A3371" s="11" t="s">
        <v>6361</v>
      </c>
      <c r="B3371" s="11"/>
      <c r="C3371" s="2580">
        <v>11</v>
      </c>
      <c r="D3371" s="2580">
        <v>2200719.33138669</v>
      </c>
      <c r="E3371" s="2581">
        <v>1521666.2786951601</v>
      </c>
      <c r="F3371" s="2582">
        <v>30.968144481322501</v>
      </c>
      <c r="G3371" s="2583">
        <v>17.286531628871099</v>
      </c>
    </row>
    <row r="3372" spans="1:7" x14ac:dyDescent="0.3">
      <c r="A3372" s="6" t="s">
        <v>6359</v>
      </c>
      <c r="B3372" s="6"/>
      <c r="C3372" s="2576">
        <v>7</v>
      </c>
      <c r="D3372" s="2576">
        <v>1646503.1248579</v>
      </c>
      <c r="E3372" s="2577">
        <v>1710459.94516252</v>
      </c>
      <c r="F3372" s="2578">
        <v>23.169309203741001</v>
      </c>
      <c r="G3372" s="2579">
        <v>25.764596788182299</v>
      </c>
    </row>
    <row r="3373" spans="1:7" x14ac:dyDescent="0.3">
      <c r="A3373" s="11" t="s">
        <v>1219</v>
      </c>
      <c r="B3373" s="11"/>
      <c r="C3373" s="2580">
        <v>9</v>
      </c>
      <c r="D3373" s="2580">
        <v>1178282.1238646901</v>
      </c>
      <c r="E3373" s="2581">
        <v>873085.83176961704</v>
      </c>
      <c r="F3373" s="2582">
        <v>16.580583689701701</v>
      </c>
      <c r="G3373" s="2583">
        <v>11.108586828960201</v>
      </c>
    </row>
    <row r="3374" spans="1:7" x14ac:dyDescent="0.3">
      <c r="A3374" s="6" t="s">
        <v>6358</v>
      </c>
      <c r="B3374" s="6"/>
      <c r="C3374" s="2576">
        <v>4</v>
      </c>
      <c r="D3374" s="2576">
        <v>657828.15159387398</v>
      </c>
      <c r="E3374" s="2577">
        <v>337982.26586760097</v>
      </c>
      <c r="F3374" s="2578">
        <v>9.2568447742965994</v>
      </c>
      <c r="G3374" s="2579">
        <v>6.8344252344440202</v>
      </c>
    </row>
    <row r="3375" spans="1:7" x14ac:dyDescent="0.3">
      <c r="A3375" s="11" t="s">
        <v>1063</v>
      </c>
      <c r="B3375" s="11"/>
      <c r="C3375" s="2580">
        <v>3</v>
      </c>
      <c r="D3375" s="2580">
        <v>534206.29317221302</v>
      </c>
      <c r="E3375" s="2581">
        <v>386510.94062568701</v>
      </c>
      <c r="F3375" s="2582">
        <v>7.5172592133158096</v>
      </c>
      <c r="G3375" s="2583">
        <v>5.8148417984719298</v>
      </c>
    </row>
    <row r="3376" spans="1:7" x14ac:dyDescent="0.3">
      <c r="A3376" s="6" t="s">
        <v>1073</v>
      </c>
      <c r="B3376" s="6"/>
      <c r="C3376" s="2576">
        <v>2</v>
      </c>
      <c r="D3376" s="2576">
        <v>480044.35157149902</v>
      </c>
      <c r="E3376" s="2577">
        <v>366647.706979418</v>
      </c>
      <c r="F3376" s="2578">
        <v>6.7551016728433604</v>
      </c>
      <c r="G3376" s="2579">
        <v>3.2889011622273499</v>
      </c>
    </row>
    <row r="3377" spans="1:7" x14ac:dyDescent="0.3">
      <c r="A3377" s="11" t="s">
        <v>1222</v>
      </c>
      <c r="B3377" s="11"/>
      <c r="C3377" s="2580">
        <v>2</v>
      </c>
      <c r="D3377" s="2580">
        <v>312551.06520518498</v>
      </c>
      <c r="E3377" s="2581">
        <v>263924.41792132403</v>
      </c>
      <c r="F3377" s="2582">
        <v>4.3981649122728097</v>
      </c>
      <c r="G3377" s="2583">
        <v>4.04978243368594</v>
      </c>
    </row>
    <row r="3378" spans="1:7" x14ac:dyDescent="0.3">
      <c r="A3378" s="6" t="s">
        <v>1224</v>
      </c>
      <c r="B3378" s="6"/>
      <c r="C3378" s="2576">
        <v>1</v>
      </c>
      <c r="D3378" s="2576">
        <v>96262.690775397699</v>
      </c>
      <c r="E3378" s="2577">
        <v>101048.469224997</v>
      </c>
      <c r="F3378" s="2578">
        <v>1.3545920525063</v>
      </c>
      <c r="G3378" s="2579">
        <v>1.5683973457659099</v>
      </c>
    </row>
    <row r="3379" spans="1:7" x14ac:dyDescent="0.3">
      <c r="A3379" s="11" t="s">
        <v>1019</v>
      </c>
      <c r="B3379" s="11" t="s">
        <v>1020</v>
      </c>
      <c r="C3379" s="2580">
        <v>7470</v>
      </c>
      <c r="D3379" s="2580">
        <v>659815772.91656804</v>
      </c>
      <c r="E3379" s="2581">
        <v>24519737.6956832</v>
      </c>
      <c r="F3379" s="2582">
        <v>99.910524814280606</v>
      </c>
      <c r="G3379" s="2583">
        <v>5.4615958437377099E-2</v>
      </c>
    </row>
    <row r="3380" spans="1:7" x14ac:dyDescent="0.3">
      <c r="A3380" s="6" t="s">
        <v>1015</v>
      </c>
      <c r="B3380" s="6" t="s">
        <v>1092</v>
      </c>
      <c r="C3380" s="2576">
        <v>4</v>
      </c>
      <c r="D3380" s="2576">
        <v>590900.09718205698</v>
      </c>
      <c r="E3380" s="2577">
        <v>361171.71924000501</v>
      </c>
      <c r="F3380" s="2578">
        <v>8.9475185719353603E-2</v>
      </c>
      <c r="G3380" s="2579">
        <v>5.4615958437371499E-2</v>
      </c>
    </row>
    <row r="3381" spans="1:7" x14ac:dyDescent="0.3">
      <c r="A3381" s="11" t="s">
        <v>6354</v>
      </c>
      <c r="B3381" s="11" t="s">
        <v>6355</v>
      </c>
      <c r="C3381" s="2580">
        <v>39</v>
      </c>
      <c r="D3381" s="2580">
        <v>7106397.1324274503</v>
      </c>
      <c r="E3381" s="2581">
        <v>2921619.3344047498</v>
      </c>
      <c r="F3381" s="2582">
        <v>1.06460793806947</v>
      </c>
      <c r="G3381" s="2583">
        <v>0.44496427195452898</v>
      </c>
    </row>
    <row r="3382" spans="1:7" x14ac:dyDescent="0.3">
      <c r="A3382" s="6" t="s">
        <v>6354</v>
      </c>
      <c r="B3382" s="6" t="s">
        <v>6356</v>
      </c>
      <c r="C3382" s="2576">
        <v>7513</v>
      </c>
      <c r="D3382" s="2576">
        <v>667513070.14617705</v>
      </c>
      <c r="E3382" s="2577">
        <v>0</v>
      </c>
      <c r="F3382" s="2578">
        <v>100</v>
      </c>
      <c r="G3382" s="2579">
        <v>0</v>
      </c>
    </row>
    <row r="3383" spans="1:7" x14ac:dyDescent="0.3">
      <c r="A3383" s="3449" t="s">
        <v>158</v>
      </c>
      <c r="B3383" s="3450"/>
      <c r="C3383" s="3450"/>
      <c r="D3383" s="3450"/>
      <c r="E3383" s="3450"/>
      <c r="F3383" s="3450"/>
      <c r="G3383" s="3450"/>
    </row>
    <row r="3384" spans="1:7" x14ac:dyDescent="0.3">
      <c r="A3384" s="11" t="s">
        <v>1021</v>
      </c>
      <c r="B3384" s="11" t="s">
        <v>1200</v>
      </c>
      <c r="C3384" s="2588">
        <v>1</v>
      </c>
      <c r="D3384" s="2588">
        <v>110507.009754364</v>
      </c>
      <c r="E3384" s="2589">
        <v>113893.61955865999</v>
      </c>
      <c r="F3384" s="2590">
        <v>100</v>
      </c>
      <c r="G3384" s="2591" t="e">
        <v>#NUM!</v>
      </c>
    </row>
    <row r="3385" spans="1:7" x14ac:dyDescent="0.3">
      <c r="A3385" s="6" t="s">
        <v>1019</v>
      </c>
      <c r="B3385" s="6" t="s">
        <v>1020</v>
      </c>
      <c r="C3385" s="2584">
        <v>7514</v>
      </c>
      <c r="D3385" s="2584">
        <v>667402563.13642395</v>
      </c>
      <c r="E3385" s="2585">
        <v>23612987.5194644</v>
      </c>
      <c r="F3385" s="2586">
        <v>100</v>
      </c>
      <c r="G3385" s="2587">
        <v>0</v>
      </c>
    </row>
    <row r="3386" spans="1:7" x14ac:dyDescent="0.3">
      <c r="A3386" s="11" t="s">
        <v>6354</v>
      </c>
      <c r="B3386" s="11" t="s">
        <v>6355</v>
      </c>
      <c r="C3386" s="2588">
        <v>1</v>
      </c>
      <c r="D3386" s="2588">
        <v>110507.009754364</v>
      </c>
      <c r="E3386" s="2589">
        <v>113893.61955865999</v>
      </c>
      <c r="F3386" s="2590">
        <v>1.6555033106717201E-2</v>
      </c>
      <c r="G3386" s="2591">
        <v>1.7206566410959401E-2</v>
      </c>
    </row>
    <row r="3387" spans="1:7" x14ac:dyDescent="0.3">
      <c r="A3387" s="6" t="s">
        <v>6354</v>
      </c>
      <c r="B3387" s="6" t="s">
        <v>6356</v>
      </c>
      <c r="C3387" s="2584">
        <v>7515</v>
      </c>
      <c r="D3387" s="2584">
        <v>667513070.14617801</v>
      </c>
      <c r="E3387" s="2585">
        <v>0</v>
      </c>
      <c r="F3387" s="2586">
        <v>100</v>
      </c>
      <c r="G3387" s="2587">
        <v>0</v>
      </c>
    </row>
    <row r="3388" spans="1:7" x14ac:dyDescent="0.3">
      <c r="A3388" s="3449" t="s">
        <v>803</v>
      </c>
      <c r="B3388" s="3450"/>
      <c r="C3388" s="3450"/>
      <c r="D3388" s="3450"/>
      <c r="E3388" s="3450"/>
      <c r="F3388" s="3450"/>
      <c r="G3388" s="3450"/>
    </row>
    <row r="3389" spans="1:7" x14ac:dyDescent="0.3">
      <c r="A3389" s="11" t="s">
        <v>6359</v>
      </c>
      <c r="B3389" s="11"/>
      <c r="C3389" s="2596">
        <v>6</v>
      </c>
      <c r="D3389" s="2596">
        <v>1525553.74739523</v>
      </c>
      <c r="E3389" s="2597">
        <v>1653330.9686066899</v>
      </c>
      <c r="F3389" s="2598">
        <v>20.931639388039802</v>
      </c>
      <c r="G3389" s="2599">
        <v>24.062524631403999</v>
      </c>
    </row>
    <row r="3390" spans="1:7" x14ac:dyDescent="0.3">
      <c r="A3390" s="6" t="s">
        <v>1063</v>
      </c>
      <c r="B3390" s="6"/>
      <c r="C3390" s="2592">
        <v>9</v>
      </c>
      <c r="D3390" s="2592">
        <v>1499313.3550123901</v>
      </c>
      <c r="E3390" s="2593">
        <v>505865.75093790801</v>
      </c>
      <c r="F3390" s="2594">
        <v>20.571603282005398</v>
      </c>
      <c r="G3390" s="2595">
        <v>9.4389777076884993</v>
      </c>
    </row>
    <row r="3391" spans="1:7" x14ac:dyDescent="0.3">
      <c r="A3391" s="11" t="s">
        <v>6361</v>
      </c>
      <c r="B3391" s="11"/>
      <c r="C3391" s="2596">
        <v>6</v>
      </c>
      <c r="D3391" s="2596">
        <v>1261604.4962009401</v>
      </c>
      <c r="E3391" s="2597">
        <v>1064238.6944963399</v>
      </c>
      <c r="F3391" s="2598">
        <v>17.310075380756999</v>
      </c>
      <c r="G3391" s="2599">
        <v>13.9907740906388</v>
      </c>
    </row>
    <row r="3392" spans="1:7" x14ac:dyDescent="0.3">
      <c r="A3392" s="6" t="s">
        <v>1222</v>
      </c>
      <c r="B3392" s="6"/>
      <c r="C3392" s="2592">
        <v>5</v>
      </c>
      <c r="D3392" s="2592">
        <v>842706.34316988499</v>
      </c>
      <c r="E3392" s="2593">
        <v>690554.67541018501</v>
      </c>
      <c r="F3392" s="2594">
        <v>11.5625066080847</v>
      </c>
      <c r="G3392" s="2595">
        <v>8.6805318818753907</v>
      </c>
    </row>
    <row r="3393" spans="1:7" x14ac:dyDescent="0.3">
      <c r="A3393" s="11" t="s">
        <v>1224</v>
      </c>
      <c r="B3393" s="11"/>
      <c r="C3393" s="2596">
        <v>4</v>
      </c>
      <c r="D3393" s="2596">
        <v>498905.368448694</v>
      </c>
      <c r="E3393" s="2597">
        <v>466994.76396049501</v>
      </c>
      <c r="F3393" s="2598">
        <v>6.8453224142090399</v>
      </c>
      <c r="G3393" s="2599">
        <v>5.7129182133793002</v>
      </c>
    </row>
    <row r="3394" spans="1:7" x14ac:dyDescent="0.3">
      <c r="A3394" s="6" t="s">
        <v>6364</v>
      </c>
      <c r="B3394" s="6"/>
      <c r="C3394" s="2592">
        <v>2</v>
      </c>
      <c r="D3394" s="2592">
        <v>401749.00957969599</v>
      </c>
      <c r="E3394" s="2593">
        <v>445604.96828998398</v>
      </c>
      <c r="F3394" s="2594">
        <v>5.5122708114234102</v>
      </c>
      <c r="G3394" s="2595">
        <v>6.8459326600808703</v>
      </c>
    </row>
    <row r="3395" spans="1:7" x14ac:dyDescent="0.3">
      <c r="A3395" s="11" t="s">
        <v>3099</v>
      </c>
      <c r="B3395" s="11"/>
      <c r="C3395" s="2596">
        <v>2</v>
      </c>
      <c r="D3395" s="2596">
        <v>345780.084632257</v>
      </c>
      <c r="E3395" s="2597">
        <v>226876.08021451</v>
      </c>
      <c r="F3395" s="2598">
        <v>4.7443389336142303</v>
      </c>
      <c r="G3395" s="2599">
        <v>3.94783105529861</v>
      </c>
    </row>
    <row r="3396" spans="1:7" x14ac:dyDescent="0.3">
      <c r="A3396" s="6" t="s">
        <v>1230</v>
      </c>
      <c r="B3396" s="6"/>
      <c r="C3396" s="2592">
        <v>1</v>
      </c>
      <c r="D3396" s="2592">
        <v>276617.02423018398</v>
      </c>
      <c r="E3396" s="2593">
        <v>282130.09424004902</v>
      </c>
      <c r="F3396" s="2594">
        <v>3.7953745055950598</v>
      </c>
      <c r="G3396" s="2595">
        <v>3.7397539657258099</v>
      </c>
    </row>
    <row r="3397" spans="1:7" x14ac:dyDescent="0.3">
      <c r="A3397" s="11" t="s">
        <v>1073</v>
      </c>
      <c r="B3397" s="11"/>
      <c r="C3397" s="2596">
        <v>1</v>
      </c>
      <c r="D3397" s="2596">
        <v>203427.32734131499</v>
      </c>
      <c r="E3397" s="2597">
        <v>218745.72618788999</v>
      </c>
      <c r="F3397" s="2598">
        <v>2.79116187473005</v>
      </c>
      <c r="G3397" s="2599">
        <v>3.0895707000878798</v>
      </c>
    </row>
    <row r="3398" spans="1:7" x14ac:dyDescent="0.3">
      <c r="A3398" s="6" t="s">
        <v>6358</v>
      </c>
      <c r="B3398" s="6"/>
      <c r="C3398" s="2592">
        <v>1</v>
      </c>
      <c r="D3398" s="2592">
        <v>203427.32734131499</v>
      </c>
      <c r="E3398" s="2593">
        <v>218745.72618788999</v>
      </c>
      <c r="F3398" s="2594">
        <v>2.79116187473005</v>
      </c>
      <c r="G3398" s="2595">
        <v>3.0895707000878798</v>
      </c>
    </row>
    <row r="3399" spans="1:7" x14ac:dyDescent="0.3">
      <c r="A3399" s="11" t="s">
        <v>6357</v>
      </c>
      <c r="B3399" s="11"/>
      <c r="C3399" s="2596">
        <v>1</v>
      </c>
      <c r="D3399" s="2596">
        <v>120949.37746266399</v>
      </c>
      <c r="E3399" s="2597">
        <v>157789.183217507</v>
      </c>
      <c r="F3399" s="2598">
        <v>1.65950806884321</v>
      </c>
      <c r="G3399" s="2599">
        <v>2.1101611188421199</v>
      </c>
    </row>
    <row r="3400" spans="1:7" x14ac:dyDescent="0.3">
      <c r="A3400" s="6" t="s">
        <v>6360</v>
      </c>
      <c r="B3400" s="6"/>
      <c r="C3400" s="2592">
        <v>2</v>
      </c>
      <c r="D3400" s="2592">
        <v>108233.44993166999</v>
      </c>
      <c r="E3400" s="2593">
        <v>110159.586211097</v>
      </c>
      <c r="F3400" s="2594">
        <v>1.48503685796804</v>
      </c>
      <c r="G3400" s="2595">
        <v>1.56946376722479</v>
      </c>
    </row>
    <row r="3401" spans="1:7" x14ac:dyDescent="0.3">
      <c r="A3401" s="11" t="s">
        <v>1019</v>
      </c>
      <c r="B3401" s="11" t="s">
        <v>1020</v>
      </c>
      <c r="C3401" s="2596">
        <v>7471</v>
      </c>
      <c r="D3401" s="2596">
        <v>659815772.91656804</v>
      </c>
      <c r="E3401" s="2597">
        <v>24519737.6956832</v>
      </c>
      <c r="F3401" s="2598">
        <v>99.938046811198404</v>
      </c>
      <c r="G3401" s="2599">
        <v>6.0859669427567001E-2</v>
      </c>
    </row>
    <row r="3402" spans="1:7" x14ac:dyDescent="0.3">
      <c r="A3402" s="6" t="s">
        <v>1015</v>
      </c>
      <c r="B3402" s="6" t="s">
        <v>1092</v>
      </c>
      <c r="C3402" s="2592">
        <v>2</v>
      </c>
      <c r="D3402" s="2592">
        <v>409030.31886326103</v>
      </c>
      <c r="E3402" s="2593">
        <v>406304.35218726803</v>
      </c>
      <c r="F3402" s="2594">
        <v>6.1953188801573099E-2</v>
      </c>
      <c r="G3402" s="2595">
        <v>6.0859669427569402E-2</v>
      </c>
    </row>
    <row r="3403" spans="1:7" x14ac:dyDescent="0.3">
      <c r="A3403" s="11" t="s">
        <v>6354</v>
      </c>
      <c r="B3403" s="11" t="s">
        <v>6355</v>
      </c>
      <c r="C3403" s="2596">
        <v>40</v>
      </c>
      <c r="D3403" s="2596">
        <v>7288266.9107462401</v>
      </c>
      <c r="E3403" s="2597">
        <v>2940333.4850639799</v>
      </c>
      <c r="F3403" s="2598">
        <v>1.09185381331188</v>
      </c>
      <c r="G3403" s="2599">
        <v>0.44874655932118501</v>
      </c>
    </row>
    <row r="3404" spans="1:7" x14ac:dyDescent="0.3">
      <c r="A3404" s="6" t="s">
        <v>6354</v>
      </c>
      <c r="B3404" s="6" t="s">
        <v>6356</v>
      </c>
      <c r="C3404" s="2592">
        <v>7513</v>
      </c>
      <c r="D3404" s="2592">
        <v>667513070.14617705</v>
      </c>
      <c r="E3404" s="2593">
        <v>0</v>
      </c>
      <c r="F3404" s="2594">
        <v>100</v>
      </c>
      <c r="G3404" s="2595">
        <v>0</v>
      </c>
    </row>
    <row r="3405" spans="1:7" x14ac:dyDescent="0.3">
      <c r="A3405" s="3449" t="s">
        <v>926</v>
      </c>
      <c r="B3405" s="3450"/>
      <c r="C3405" s="3450"/>
      <c r="D3405" s="3450"/>
      <c r="E3405" s="3450"/>
      <c r="F3405" s="3450"/>
      <c r="G3405" s="3450"/>
    </row>
    <row r="3406" spans="1:7" x14ac:dyDescent="0.3">
      <c r="A3406" s="11" t="s">
        <v>1021</v>
      </c>
      <c r="B3406" s="11" t="s">
        <v>6209</v>
      </c>
      <c r="C3406" s="2604">
        <v>4111</v>
      </c>
      <c r="D3406" s="2604">
        <v>333548947.54734099</v>
      </c>
      <c r="E3406" s="2605">
        <v>6762823.9517056597</v>
      </c>
      <c r="F3406" s="2606">
        <v>56.609991507365699</v>
      </c>
      <c r="G3406" s="2607">
        <v>1.76222456951894</v>
      </c>
    </row>
    <row r="3407" spans="1:7" x14ac:dyDescent="0.3">
      <c r="A3407" s="6" t="s">
        <v>1023</v>
      </c>
      <c r="B3407" s="6" t="s">
        <v>3064</v>
      </c>
      <c r="C3407" s="2600">
        <v>1999</v>
      </c>
      <c r="D3407" s="2600">
        <v>176743141.74130201</v>
      </c>
      <c r="E3407" s="2601">
        <v>12201366.3608295</v>
      </c>
      <c r="F3407" s="2602">
        <v>29.996879997770598</v>
      </c>
      <c r="G3407" s="2603">
        <v>1.28766338260932</v>
      </c>
    </row>
    <row r="3408" spans="1:7" x14ac:dyDescent="0.3">
      <c r="A3408" s="11" t="s">
        <v>1025</v>
      </c>
      <c r="B3408" s="11" t="s">
        <v>3065</v>
      </c>
      <c r="C3408" s="2604">
        <v>325</v>
      </c>
      <c r="D3408" s="2604">
        <v>38390008.152773596</v>
      </c>
      <c r="E3408" s="2605">
        <v>7248013.3615335701</v>
      </c>
      <c r="F3408" s="2606">
        <v>6.5155595647255398</v>
      </c>
      <c r="G3408" s="2607">
        <v>1.0646197918928699</v>
      </c>
    </row>
    <row r="3409" spans="1:7" x14ac:dyDescent="0.3">
      <c r="A3409" s="6" t="s">
        <v>1052</v>
      </c>
      <c r="B3409" s="6" t="s">
        <v>6210</v>
      </c>
      <c r="C3409" s="2600">
        <v>294</v>
      </c>
      <c r="D3409" s="2600">
        <v>26183246.512300301</v>
      </c>
      <c r="E3409" s="2601">
        <v>5818702.3733898699</v>
      </c>
      <c r="F3409" s="2602">
        <v>4.4438256321771403</v>
      </c>
      <c r="G3409" s="2603">
        <v>0.83110493082391601</v>
      </c>
    </row>
    <row r="3410" spans="1:7" x14ac:dyDescent="0.3">
      <c r="A3410" s="11" t="s">
        <v>1027</v>
      </c>
      <c r="B3410" s="11" t="s">
        <v>3066</v>
      </c>
      <c r="C3410" s="2604">
        <v>107</v>
      </c>
      <c r="D3410" s="2604">
        <v>8538415.7735825907</v>
      </c>
      <c r="E3410" s="2605">
        <v>2687831.8061913601</v>
      </c>
      <c r="F3410" s="2606">
        <v>1.4491415667269201</v>
      </c>
      <c r="G3410" s="2607">
        <v>0.40811188829177603</v>
      </c>
    </row>
    <row r="3411" spans="1:7" x14ac:dyDescent="0.3">
      <c r="A3411" s="6" t="s">
        <v>1029</v>
      </c>
      <c r="B3411" s="6" t="s">
        <v>3067</v>
      </c>
      <c r="C3411" s="2600">
        <v>23</v>
      </c>
      <c r="D3411" s="2600">
        <v>4593939.8746573096</v>
      </c>
      <c r="E3411" s="2601">
        <v>2702277.7741592098</v>
      </c>
      <c r="F3411" s="2602">
        <v>0.77968435877852205</v>
      </c>
      <c r="G3411" s="2603">
        <v>0.45707133374978798</v>
      </c>
    </row>
    <row r="3412" spans="1:7" x14ac:dyDescent="0.3">
      <c r="A3412" s="11" t="s">
        <v>1031</v>
      </c>
      <c r="B3412" s="11" t="s">
        <v>3068</v>
      </c>
      <c r="C3412" s="2604">
        <v>5</v>
      </c>
      <c r="D3412" s="2604">
        <v>1086995.34351557</v>
      </c>
      <c r="E3412" s="2605">
        <v>1111335.0079065401</v>
      </c>
      <c r="F3412" s="2606">
        <v>0.18448505869210899</v>
      </c>
      <c r="G3412" s="2607">
        <v>0.190625105580667</v>
      </c>
    </row>
    <row r="3413" spans="1:7" x14ac:dyDescent="0.3">
      <c r="A3413" s="6" t="s">
        <v>1040</v>
      </c>
      <c r="B3413" s="6" t="s">
        <v>3069</v>
      </c>
      <c r="C3413" s="2600">
        <v>3</v>
      </c>
      <c r="D3413" s="2600">
        <v>120388.231305254</v>
      </c>
      <c r="E3413" s="2601">
        <v>128821.868265097</v>
      </c>
      <c r="F3413" s="2602">
        <v>2.0432313763514301E-2</v>
      </c>
      <c r="G3413" s="2603">
        <v>2.1856576472955701E-2</v>
      </c>
    </row>
    <row r="3414" spans="1:7" x14ac:dyDescent="0.3">
      <c r="A3414" s="11" t="s">
        <v>1019</v>
      </c>
      <c r="B3414" s="11" t="s">
        <v>1020</v>
      </c>
      <c r="C3414" s="2604">
        <v>648</v>
      </c>
      <c r="D3414" s="2604">
        <v>78307986.969403505</v>
      </c>
      <c r="E3414" s="2605">
        <v>10078749.5786012</v>
      </c>
      <c r="F3414" s="2606">
        <v>100</v>
      </c>
      <c r="G3414" s="2607">
        <v>0</v>
      </c>
    </row>
    <row r="3415" spans="1:7" x14ac:dyDescent="0.3">
      <c r="A3415" s="6" t="s">
        <v>6354</v>
      </c>
      <c r="B3415" s="6" t="s">
        <v>6355</v>
      </c>
      <c r="C3415" s="2600">
        <v>6867</v>
      </c>
      <c r="D3415" s="2600">
        <v>589205083.17677701</v>
      </c>
      <c r="E3415" s="2601">
        <v>26775725.470507301</v>
      </c>
      <c r="F3415" s="2602">
        <v>88.268696079276097</v>
      </c>
      <c r="G3415" s="2603">
        <v>1.5984489001573501</v>
      </c>
    </row>
    <row r="3416" spans="1:7" x14ac:dyDescent="0.3">
      <c r="A3416" s="11" t="s">
        <v>6354</v>
      </c>
      <c r="B3416" s="11" t="s">
        <v>6356</v>
      </c>
      <c r="C3416" s="2604">
        <v>7515</v>
      </c>
      <c r="D3416" s="2604">
        <v>667513070.14618099</v>
      </c>
      <c r="E3416" s="2605">
        <v>0</v>
      </c>
      <c r="F3416" s="2606">
        <v>100</v>
      </c>
      <c r="G3416" s="2607">
        <v>0</v>
      </c>
    </row>
    <row r="3417" spans="1:7" x14ac:dyDescent="0.3">
      <c r="A3417" s="3449" t="s">
        <v>934</v>
      </c>
      <c r="B3417" s="3450"/>
      <c r="C3417" s="3450"/>
      <c r="D3417" s="3450"/>
      <c r="E3417" s="3450"/>
      <c r="F3417" s="3450"/>
      <c r="G3417" s="3450"/>
    </row>
    <row r="3418" spans="1:7" x14ac:dyDescent="0.3">
      <c r="A3418" s="11" t="s">
        <v>1021</v>
      </c>
      <c r="B3418" s="11" t="s">
        <v>6211</v>
      </c>
      <c r="C3418" s="2612">
        <v>2483</v>
      </c>
      <c r="D3418" s="2612">
        <v>225712717.842186</v>
      </c>
      <c r="E3418" s="2613">
        <v>8413748.3072688896</v>
      </c>
      <c r="F3418" s="2614">
        <v>33.833824150815303</v>
      </c>
      <c r="G3418" s="2615">
        <v>0.48324648864267999</v>
      </c>
    </row>
    <row r="3419" spans="1:7" x14ac:dyDescent="0.3">
      <c r="A3419" s="6" t="s">
        <v>1025</v>
      </c>
      <c r="B3419" s="6" t="s">
        <v>6213</v>
      </c>
      <c r="C3419" s="2608">
        <v>942</v>
      </c>
      <c r="D3419" s="2608">
        <v>104598627.666577</v>
      </c>
      <c r="E3419" s="2609">
        <v>3738351.9194346</v>
      </c>
      <c r="F3419" s="2610">
        <v>15.6790969012298</v>
      </c>
      <c r="G3419" s="2611">
        <v>0.608814544311989</v>
      </c>
    </row>
    <row r="3420" spans="1:7" x14ac:dyDescent="0.3">
      <c r="A3420" s="11" t="s">
        <v>1065</v>
      </c>
      <c r="B3420" s="11" t="s">
        <v>6221</v>
      </c>
      <c r="C3420" s="2612">
        <v>994</v>
      </c>
      <c r="D3420" s="2612">
        <v>67209517.5672452</v>
      </c>
      <c r="E3420" s="2613">
        <v>5093330.7606085697</v>
      </c>
      <c r="F3420" s="2614">
        <v>10.074554151712499</v>
      </c>
      <c r="G3420" s="2615">
        <v>0.55333533122117995</v>
      </c>
    </row>
    <row r="3421" spans="1:7" x14ac:dyDescent="0.3">
      <c r="A3421" s="6" t="s">
        <v>1031</v>
      </c>
      <c r="B3421" s="6" t="s">
        <v>6216</v>
      </c>
      <c r="C3421" s="2608">
        <v>486</v>
      </c>
      <c r="D3421" s="2608">
        <v>51924251.190080397</v>
      </c>
      <c r="E3421" s="2609">
        <v>4209686.4859521799</v>
      </c>
      <c r="F3421" s="2610">
        <v>7.78332741160055</v>
      </c>
      <c r="G3421" s="2611">
        <v>0.60232340659983596</v>
      </c>
    </row>
    <row r="3422" spans="1:7" x14ac:dyDescent="0.3">
      <c r="A3422" s="11" t="s">
        <v>1069</v>
      </c>
      <c r="B3422" s="11" t="s">
        <v>6223</v>
      </c>
      <c r="C3422" s="2612">
        <v>670</v>
      </c>
      <c r="D3422" s="2612">
        <v>49216290.591469102</v>
      </c>
      <c r="E3422" s="2613">
        <v>5420056.1670842404</v>
      </c>
      <c r="F3422" s="2614">
        <v>7.3774102635698799</v>
      </c>
      <c r="G3422" s="2615">
        <v>0.66983649092701103</v>
      </c>
    </row>
    <row r="3423" spans="1:7" x14ac:dyDescent="0.3">
      <c r="A3423" s="6" t="s">
        <v>1042</v>
      </c>
      <c r="B3423" s="6" t="s">
        <v>6218</v>
      </c>
      <c r="C3423" s="2608">
        <v>202</v>
      </c>
      <c r="D3423" s="2608">
        <v>32833401.9395377</v>
      </c>
      <c r="E3423" s="2609">
        <v>1396348.7632136301</v>
      </c>
      <c r="F3423" s="2610">
        <v>4.9216524355179097</v>
      </c>
      <c r="G3423" s="2611">
        <v>0.21832203317607701</v>
      </c>
    </row>
    <row r="3424" spans="1:7" x14ac:dyDescent="0.3">
      <c r="A3424" s="11" t="s">
        <v>1071</v>
      </c>
      <c r="B3424" s="11" t="s">
        <v>6224</v>
      </c>
      <c r="C3424" s="2612">
        <v>249</v>
      </c>
      <c r="D3424" s="2612">
        <v>20027460.5494527</v>
      </c>
      <c r="E3424" s="2613">
        <v>4605278.8133424297</v>
      </c>
      <c r="F3424" s="2614">
        <v>3.0020708841552399</v>
      </c>
      <c r="G3424" s="2615">
        <v>0.63316605825826999</v>
      </c>
    </row>
    <row r="3425" spans="1:7" x14ac:dyDescent="0.3">
      <c r="A3425" s="6" t="s">
        <v>1075</v>
      </c>
      <c r="B3425" s="6" t="s">
        <v>6226</v>
      </c>
      <c r="C3425" s="2608">
        <v>191</v>
      </c>
      <c r="D3425" s="2608">
        <v>18748071.7385986</v>
      </c>
      <c r="E3425" s="2609">
        <v>2729946.2574395998</v>
      </c>
      <c r="F3425" s="2610">
        <v>2.8102934049738399</v>
      </c>
      <c r="G3425" s="2611">
        <v>0.43589993299086199</v>
      </c>
    </row>
    <row r="3426" spans="1:7" x14ac:dyDescent="0.3">
      <c r="A3426" s="11" t="s">
        <v>1073</v>
      </c>
      <c r="B3426" s="11" t="s">
        <v>6225</v>
      </c>
      <c r="C3426" s="2612">
        <v>203</v>
      </c>
      <c r="D3426" s="2612">
        <v>16983729.054202199</v>
      </c>
      <c r="E3426" s="2613">
        <v>2428642.4896598202</v>
      </c>
      <c r="F3426" s="2614">
        <v>2.54582244074849</v>
      </c>
      <c r="G3426" s="2615">
        <v>0.31756193958416001</v>
      </c>
    </row>
    <row r="3427" spans="1:7" x14ac:dyDescent="0.3">
      <c r="A3427" s="6" t="s">
        <v>1077</v>
      </c>
      <c r="B3427" s="6" t="s">
        <v>6227</v>
      </c>
      <c r="C3427" s="2608">
        <v>266</v>
      </c>
      <c r="D3427" s="2608">
        <v>16650457.934038701</v>
      </c>
      <c r="E3427" s="2609">
        <v>1533671.7913780999</v>
      </c>
      <c r="F3427" s="2610">
        <v>2.4958658561929101</v>
      </c>
      <c r="G3427" s="2611">
        <v>0.24293010931789</v>
      </c>
    </row>
    <row r="3428" spans="1:7" x14ac:dyDescent="0.3">
      <c r="A3428" s="11" t="s">
        <v>1067</v>
      </c>
      <c r="B3428" s="11" t="s">
        <v>6222</v>
      </c>
      <c r="C3428" s="2612">
        <v>190</v>
      </c>
      <c r="D3428" s="2612">
        <v>13998870.3588138</v>
      </c>
      <c r="E3428" s="2613">
        <v>1467144.03793982</v>
      </c>
      <c r="F3428" s="2614">
        <v>2.0983988964295999</v>
      </c>
      <c r="G3428" s="2615">
        <v>0.24579000980255999</v>
      </c>
    </row>
    <row r="3429" spans="1:7" x14ac:dyDescent="0.3">
      <c r="A3429" s="6" t="s">
        <v>1027</v>
      </c>
      <c r="B3429" s="6" t="s">
        <v>6214</v>
      </c>
      <c r="C3429" s="2608">
        <v>96</v>
      </c>
      <c r="D3429" s="2608">
        <v>10458344.587836901</v>
      </c>
      <c r="E3429" s="2609">
        <v>1563378.4184470701</v>
      </c>
      <c r="F3429" s="2610">
        <v>1.5676821185632399</v>
      </c>
      <c r="G3429" s="2611">
        <v>0.21290302870561001</v>
      </c>
    </row>
    <row r="3430" spans="1:7" x14ac:dyDescent="0.3">
      <c r="A3430" s="11" t="s">
        <v>1081</v>
      </c>
      <c r="B3430" s="11" t="s">
        <v>6229</v>
      </c>
      <c r="C3430" s="2612">
        <v>178</v>
      </c>
      <c r="D3430" s="2612">
        <v>10175828.493644699</v>
      </c>
      <c r="E3430" s="2613">
        <v>2936748.2409771499</v>
      </c>
      <c r="F3430" s="2614">
        <v>1.52533359721249</v>
      </c>
      <c r="G3430" s="2615">
        <v>0.41902699706504498</v>
      </c>
    </row>
    <row r="3431" spans="1:7" x14ac:dyDescent="0.3">
      <c r="A3431" s="6" t="s">
        <v>1079</v>
      </c>
      <c r="B3431" s="6" t="s">
        <v>6228</v>
      </c>
      <c r="C3431" s="2608">
        <v>125</v>
      </c>
      <c r="D3431" s="2608">
        <v>8348350.23865279</v>
      </c>
      <c r="E3431" s="2609">
        <v>2248823.58767378</v>
      </c>
      <c r="F3431" s="2610">
        <v>1.2513987542407099</v>
      </c>
      <c r="G3431" s="2611">
        <v>0.35843335897783102</v>
      </c>
    </row>
    <row r="3432" spans="1:7" x14ac:dyDescent="0.3">
      <c r="A3432" s="11" t="s">
        <v>1040</v>
      </c>
      <c r="B3432" s="11" t="s">
        <v>6217</v>
      </c>
      <c r="C3432" s="2612">
        <v>59</v>
      </c>
      <c r="D3432" s="2612">
        <v>7055753.8336419798</v>
      </c>
      <c r="E3432" s="2613">
        <v>1725836.2865835601</v>
      </c>
      <c r="F3432" s="2614">
        <v>1.0576414866697701</v>
      </c>
      <c r="G3432" s="2615">
        <v>0.236660344458066</v>
      </c>
    </row>
    <row r="3433" spans="1:7" x14ac:dyDescent="0.3">
      <c r="A3433" s="6" t="s">
        <v>1029</v>
      </c>
      <c r="B3433" s="6" t="s">
        <v>6215</v>
      </c>
      <c r="C3433" s="2608">
        <v>70</v>
      </c>
      <c r="D3433" s="2608">
        <v>4381444.2851955201</v>
      </c>
      <c r="E3433" s="2609">
        <v>1393497.6617926401</v>
      </c>
      <c r="F3433" s="2610">
        <v>0.65676855468794304</v>
      </c>
      <c r="G3433" s="2611">
        <v>0.210930458829132</v>
      </c>
    </row>
    <row r="3434" spans="1:7" x14ac:dyDescent="0.3">
      <c r="A3434" s="11" t="s">
        <v>1023</v>
      </c>
      <c r="B3434" s="11" t="s">
        <v>6212</v>
      </c>
      <c r="C3434" s="2612">
        <v>56</v>
      </c>
      <c r="D3434" s="2612">
        <v>4001232.3641288602</v>
      </c>
      <c r="E3434" s="2613">
        <v>941613.65420935396</v>
      </c>
      <c r="F3434" s="2614">
        <v>0.59977565060884197</v>
      </c>
      <c r="G3434" s="2615">
        <v>0.15561530248342001</v>
      </c>
    </row>
    <row r="3435" spans="1:7" x14ac:dyDescent="0.3">
      <c r="A3435" s="6" t="s">
        <v>1052</v>
      </c>
      <c r="B3435" s="6" t="s">
        <v>1083</v>
      </c>
      <c r="C3435" s="2608">
        <v>35</v>
      </c>
      <c r="D3435" s="2608">
        <v>2283437.7737213299</v>
      </c>
      <c r="E3435" s="2609">
        <v>665676.06686201796</v>
      </c>
      <c r="F3435" s="2610">
        <v>0.34228214003179802</v>
      </c>
      <c r="G3435" s="2611">
        <v>0.105569044763269</v>
      </c>
    </row>
    <row r="3436" spans="1:7" x14ac:dyDescent="0.3">
      <c r="A3436" s="11" t="s">
        <v>1061</v>
      </c>
      <c r="B3436" s="11" t="s">
        <v>6219</v>
      </c>
      <c r="C3436" s="2612">
        <v>15</v>
      </c>
      <c r="D3436" s="2612">
        <v>2258885.7573935702</v>
      </c>
      <c r="E3436" s="2613">
        <v>1495551.9069061901</v>
      </c>
      <c r="F3436" s="2614">
        <v>0.33860184850492803</v>
      </c>
      <c r="G3436" s="2615">
        <v>0.223545936953261</v>
      </c>
    </row>
    <row r="3437" spans="1:7" x14ac:dyDescent="0.3">
      <c r="A3437" s="6" t="s">
        <v>1063</v>
      </c>
      <c r="B3437" s="6" t="s">
        <v>6220</v>
      </c>
      <c r="C3437" s="2608">
        <v>3</v>
      </c>
      <c r="D3437" s="2608">
        <v>254834.09525496501</v>
      </c>
      <c r="E3437" s="2609">
        <v>175259.326331363</v>
      </c>
      <c r="F3437" s="2610">
        <v>3.8199052534190599E-2</v>
      </c>
      <c r="G3437" s="2611">
        <v>2.6784944390457002E-2</v>
      </c>
    </row>
    <row r="3438" spans="1:7" x14ac:dyDescent="0.3">
      <c r="A3438" s="11" t="s">
        <v>1015</v>
      </c>
      <c r="B3438" s="11" t="s">
        <v>1016</v>
      </c>
      <c r="C3438" s="2612">
        <v>2</v>
      </c>
      <c r="D3438" s="2612">
        <v>391562.28450877802</v>
      </c>
      <c r="E3438" s="2613">
        <v>386712.43445211201</v>
      </c>
      <c r="F3438" s="2614">
        <v>100</v>
      </c>
      <c r="G3438" s="2615">
        <v>0</v>
      </c>
    </row>
    <row r="3439" spans="1:7" x14ac:dyDescent="0.3">
      <c r="A3439" s="6" t="s">
        <v>6354</v>
      </c>
      <c r="B3439" s="6" t="s">
        <v>6355</v>
      </c>
      <c r="C3439" s="2608">
        <v>7513</v>
      </c>
      <c r="D3439" s="2608">
        <v>667121507.86167204</v>
      </c>
      <c r="E3439" s="2609">
        <v>23348587.2997532</v>
      </c>
      <c r="F3439" s="2610">
        <v>99.941340132197993</v>
      </c>
      <c r="G3439" s="2611">
        <v>5.75771949435636E-2</v>
      </c>
    </row>
    <row r="3440" spans="1:7" x14ac:dyDescent="0.3">
      <c r="A3440" s="11" t="s">
        <v>6354</v>
      </c>
      <c r="B3440" s="11" t="s">
        <v>6356</v>
      </c>
      <c r="C3440" s="2612">
        <v>7515</v>
      </c>
      <c r="D3440" s="2612">
        <v>667513070.14618099</v>
      </c>
      <c r="E3440" s="2613">
        <v>0</v>
      </c>
      <c r="F3440" s="2614">
        <v>100</v>
      </c>
      <c r="G3440" s="2615">
        <v>0</v>
      </c>
    </row>
    <row r="3441" spans="1:7" x14ac:dyDescent="0.3">
      <c r="A3441" s="3449" t="s">
        <v>937</v>
      </c>
      <c r="B3441" s="3450"/>
      <c r="C3441" s="3450"/>
      <c r="D3441" s="3450"/>
      <c r="E3441" s="3450"/>
      <c r="F3441" s="3450"/>
      <c r="G3441" s="3450"/>
    </row>
    <row r="3442" spans="1:7" x14ac:dyDescent="0.3">
      <c r="A3442" s="11" t="s">
        <v>6620</v>
      </c>
      <c r="B3442" s="11"/>
      <c r="C3442" s="2620">
        <v>29</v>
      </c>
      <c r="D3442" s="2620">
        <v>2172787.1588584501</v>
      </c>
      <c r="E3442" s="2621">
        <v>666330.10844771506</v>
      </c>
      <c r="F3442" s="2622">
        <v>95.154209318235203</v>
      </c>
      <c r="G3442" s="2623">
        <v>4.31446355395145</v>
      </c>
    </row>
    <row r="3443" spans="1:7" x14ac:dyDescent="0.3">
      <c r="A3443" s="6" t="s">
        <v>6621</v>
      </c>
      <c r="B3443" s="6"/>
      <c r="C3443" s="2616">
        <v>6</v>
      </c>
      <c r="D3443" s="2616">
        <v>110650.614862886</v>
      </c>
      <c r="E3443" s="2617">
        <v>95802.071346361801</v>
      </c>
      <c r="F3443" s="2618">
        <v>4.8457906817648002</v>
      </c>
      <c r="G3443" s="2619">
        <v>4.3144635539514598</v>
      </c>
    </row>
    <row r="3444" spans="1:7" x14ac:dyDescent="0.3">
      <c r="A3444" s="11" t="s">
        <v>1019</v>
      </c>
      <c r="B3444" s="11" t="s">
        <v>1020</v>
      </c>
      <c r="C3444" s="2620">
        <v>7480</v>
      </c>
      <c r="D3444" s="2620">
        <v>665229632.37245703</v>
      </c>
      <c r="E3444" s="2621">
        <v>23874918.366799202</v>
      </c>
      <c r="F3444" s="2622">
        <v>100</v>
      </c>
      <c r="G3444" s="2623">
        <v>0</v>
      </c>
    </row>
    <row r="3445" spans="1:7" x14ac:dyDescent="0.3">
      <c r="A3445" s="6" t="s">
        <v>6354</v>
      </c>
      <c r="B3445" s="6" t="s">
        <v>6355</v>
      </c>
      <c r="C3445" s="2616">
        <v>35</v>
      </c>
      <c r="D3445" s="2616">
        <v>2283437.7737213299</v>
      </c>
      <c r="E3445" s="2617">
        <v>665676.06686201796</v>
      </c>
      <c r="F3445" s="2618">
        <v>0.342081357780947</v>
      </c>
      <c r="G3445" s="2619">
        <v>0.105599653895031</v>
      </c>
    </row>
    <row r="3446" spans="1:7" x14ac:dyDescent="0.3">
      <c r="A3446" s="11" t="s">
        <v>6354</v>
      </c>
      <c r="B3446" s="11" t="s">
        <v>6356</v>
      </c>
      <c r="C3446" s="2620">
        <v>7515</v>
      </c>
      <c r="D3446" s="2620">
        <v>667513070.14617801</v>
      </c>
      <c r="E3446" s="2621">
        <v>0</v>
      </c>
      <c r="F3446" s="2622">
        <v>100</v>
      </c>
      <c r="G3446" s="2623">
        <v>0</v>
      </c>
    </row>
    <row r="3447" spans="1:7" x14ac:dyDescent="0.3">
      <c r="A3447" s="3449" t="s">
        <v>939</v>
      </c>
      <c r="B3447" s="3450"/>
      <c r="C3447" s="3450"/>
      <c r="D3447" s="3450"/>
      <c r="E3447" s="3450"/>
      <c r="F3447" s="3450"/>
      <c r="G3447" s="3450"/>
    </row>
    <row r="3448" spans="1:7" x14ac:dyDescent="0.3">
      <c r="A3448" s="11" t="s">
        <v>1021</v>
      </c>
      <c r="B3448" s="11" t="s">
        <v>6211</v>
      </c>
      <c r="C3448" s="2628">
        <v>2529</v>
      </c>
      <c r="D3448" s="2628">
        <v>227233203.06948799</v>
      </c>
      <c r="E3448" s="2629">
        <v>8978381.7780191898</v>
      </c>
      <c r="F3448" s="2630">
        <v>34.062139339733001</v>
      </c>
      <c r="G3448" s="2631">
        <v>0.64143778732839596</v>
      </c>
    </row>
    <row r="3449" spans="1:7" x14ac:dyDescent="0.3">
      <c r="A3449" s="6" t="s">
        <v>1025</v>
      </c>
      <c r="B3449" s="6" t="s">
        <v>6213</v>
      </c>
      <c r="C3449" s="2624">
        <v>933</v>
      </c>
      <c r="D3449" s="2624">
        <v>104503230.995832</v>
      </c>
      <c r="E3449" s="2625">
        <v>4137515.2578946901</v>
      </c>
      <c r="F3449" s="2626">
        <v>15.664980150562799</v>
      </c>
      <c r="G3449" s="2627">
        <v>0.66195149991052304</v>
      </c>
    </row>
    <row r="3450" spans="1:7" x14ac:dyDescent="0.3">
      <c r="A3450" s="11" t="s">
        <v>1065</v>
      </c>
      <c r="B3450" s="11" t="s">
        <v>6221</v>
      </c>
      <c r="C3450" s="2628">
        <v>993</v>
      </c>
      <c r="D3450" s="2628">
        <v>67127823.503369302</v>
      </c>
      <c r="E3450" s="2629">
        <v>5107654.3732035505</v>
      </c>
      <c r="F3450" s="2630">
        <v>10.0624259432965</v>
      </c>
      <c r="G3450" s="2631">
        <v>0.55794395937909802</v>
      </c>
    </row>
    <row r="3451" spans="1:7" x14ac:dyDescent="0.3">
      <c r="A3451" s="6" t="s">
        <v>1031</v>
      </c>
      <c r="B3451" s="6" t="s">
        <v>6216</v>
      </c>
      <c r="C3451" s="2624">
        <v>483</v>
      </c>
      <c r="D3451" s="2624">
        <v>51366853.6204108</v>
      </c>
      <c r="E3451" s="2625">
        <v>4085213.4727962599</v>
      </c>
      <c r="F3451" s="2626">
        <v>7.6998647285144104</v>
      </c>
      <c r="G3451" s="2627">
        <v>0.57535082840802498</v>
      </c>
    </row>
    <row r="3452" spans="1:7" x14ac:dyDescent="0.3">
      <c r="A3452" s="11" t="s">
        <v>1069</v>
      </c>
      <c r="B3452" s="11" t="s">
        <v>6223</v>
      </c>
      <c r="C3452" s="2628">
        <v>671</v>
      </c>
      <c r="D3452" s="2628">
        <v>49729455.625474997</v>
      </c>
      <c r="E3452" s="2629">
        <v>5632187.0133207496</v>
      </c>
      <c r="F3452" s="2630">
        <v>7.4544196179200402</v>
      </c>
      <c r="G3452" s="2631">
        <v>0.69577260953202302</v>
      </c>
    </row>
    <row r="3453" spans="1:7" x14ac:dyDescent="0.3">
      <c r="A3453" s="6" t="s">
        <v>1042</v>
      </c>
      <c r="B3453" s="6" t="s">
        <v>6218</v>
      </c>
      <c r="C3453" s="2624">
        <v>197</v>
      </c>
      <c r="D3453" s="2624">
        <v>32324234.819569498</v>
      </c>
      <c r="E3453" s="2625">
        <v>1242036.75922962</v>
      </c>
      <c r="F3453" s="2626">
        <v>4.8453860421873696</v>
      </c>
      <c r="G3453" s="2627">
        <v>0.20988661034373299</v>
      </c>
    </row>
    <row r="3454" spans="1:7" x14ac:dyDescent="0.3">
      <c r="A3454" s="11" t="s">
        <v>1071</v>
      </c>
      <c r="B3454" s="11" t="s">
        <v>6224</v>
      </c>
      <c r="C3454" s="2628">
        <v>245</v>
      </c>
      <c r="D3454" s="2628">
        <v>19775354.509890299</v>
      </c>
      <c r="E3454" s="2629">
        <v>4675873.7215930903</v>
      </c>
      <c r="F3454" s="2630">
        <v>2.9643153892546201</v>
      </c>
      <c r="G3454" s="2631">
        <v>0.64400572572760995</v>
      </c>
    </row>
    <row r="3455" spans="1:7" x14ac:dyDescent="0.3">
      <c r="A3455" s="6" t="s">
        <v>1075</v>
      </c>
      <c r="B3455" s="6" t="s">
        <v>6226</v>
      </c>
      <c r="C3455" s="2624">
        <v>184</v>
      </c>
      <c r="D3455" s="2624">
        <v>18875313.791328099</v>
      </c>
      <c r="E3455" s="2625">
        <v>2051923.197529</v>
      </c>
      <c r="F3455" s="2626">
        <v>2.8293997521339098</v>
      </c>
      <c r="G3455" s="2627">
        <v>0.32885376883765599</v>
      </c>
    </row>
    <row r="3456" spans="1:7" x14ac:dyDescent="0.3">
      <c r="A3456" s="11" t="s">
        <v>1077</v>
      </c>
      <c r="B3456" s="11" t="s">
        <v>6227</v>
      </c>
      <c r="C3456" s="2628">
        <v>276</v>
      </c>
      <c r="D3456" s="2628">
        <v>17914237.392234601</v>
      </c>
      <c r="E3456" s="2629">
        <v>2027149.7718888</v>
      </c>
      <c r="F3456" s="2630">
        <v>2.6853348981431799</v>
      </c>
      <c r="G3456" s="2631">
        <v>0.32234997768871698</v>
      </c>
    </row>
    <row r="3457" spans="1:7" x14ac:dyDescent="0.3">
      <c r="A3457" s="6" t="s">
        <v>1073</v>
      </c>
      <c r="B3457" s="6" t="s">
        <v>6225</v>
      </c>
      <c r="C3457" s="2624">
        <v>204</v>
      </c>
      <c r="D3457" s="2624">
        <v>16547056.118799301</v>
      </c>
      <c r="E3457" s="2625">
        <v>2045272.40436115</v>
      </c>
      <c r="F3457" s="2626">
        <v>2.48039513401819</v>
      </c>
      <c r="G3457" s="2627">
        <v>0.262504396262568</v>
      </c>
    </row>
    <row r="3458" spans="1:7" x14ac:dyDescent="0.3">
      <c r="A3458" s="11" t="s">
        <v>1067</v>
      </c>
      <c r="B3458" s="11" t="s">
        <v>6222</v>
      </c>
      <c r="C3458" s="2628">
        <v>192</v>
      </c>
      <c r="D3458" s="2628">
        <v>14072917.0015542</v>
      </c>
      <c r="E3458" s="2629">
        <v>1488090.14098981</v>
      </c>
      <c r="F3458" s="2630">
        <v>2.1095229629661598</v>
      </c>
      <c r="G3458" s="2631">
        <v>0.25021095228542001</v>
      </c>
    </row>
    <row r="3459" spans="1:7" x14ac:dyDescent="0.3">
      <c r="A3459" s="6" t="s">
        <v>1027</v>
      </c>
      <c r="B3459" s="6" t="s">
        <v>6214</v>
      </c>
      <c r="C3459" s="2624">
        <v>93</v>
      </c>
      <c r="D3459" s="2624">
        <v>10362112.844461899</v>
      </c>
      <c r="E3459" s="2625">
        <v>1526476.68079008</v>
      </c>
      <c r="F3459" s="2626">
        <v>1.5532753435428299</v>
      </c>
      <c r="G3459" s="2627">
        <v>0.207464494125881</v>
      </c>
    </row>
    <row r="3460" spans="1:7" x14ac:dyDescent="0.3">
      <c r="A3460" s="11" t="s">
        <v>1081</v>
      </c>
      <c r="B3460" s="11" t="s">
        <v>6229</v>
      </c>
      <c r="C3460" s="2628">
        <v>174</v>
      </c>
      <c r="D3460" s="2628">
        <v>10040441.9929174</v>
      </c>
      <c r="E3460" s="2629">
        <v>2977561.2392242602</v>
      </c>
      <c r="F3460" s="2630">
        <v>1.5050570496543001</v>
      </c>
      <c r="G3460" s="2631">
        <v>0.424751490445265</v>
      </c>
    </row>
    <row r="3461" spans="1:7" x14ac:dyDescent="0.3">
      <c r="A3461" s="6" t="s">
        <v>1079</v>
      </c>
      <c r="B3461" s="6" t="s">
        <v>6228</v>
      </c>
      <c r="C3461" s="2624">
        <v>119</v>
      </c>
      <c r="D3461" s="2624">
        <v>8239212.7974485699</v>
      </c>
      <c r="E3461" s="2625">
        <v>2261817.9994864301</v>
      </c>
      <c r="F3461" s="2626">
        <v>1.2350537270320601</v>
      </c>
      <c r="G3461" s="2627">
        <v>0.36105823750988397</v>
      </c>
    </row>
    <row r="3462" spans="1:7" x14ac:dyDescent="0.3">
      <c r="A3462" s="11" t="s">
        <v>1040</v>
      </c>
      <c r="B3462" s="11" t="s">
        <v>6217</v>
      </c>
      <c r="C3462" s="2628">
        <v>59</v>
      </c>
      <c r="D3462" s="2628">
        <v>7055753.8336419798</v>
      </c>
      <c r="E3462" s="2629">
        <v>1725836.2865835601</v>
      </c>
      <c r="F3462" s="2630">
        <v>1.0576538418765999</v>
      </c>
      <c r="G3462" s="2631">
        <v>0.23665642524216801</v>
      </c>
    </row>
    <row r="3463" spans="1:7" x14ac:dyDescent="0.3">
      <c r="A3463" s="6" t="s">
        <v>1029</v>
      </c>
      <c r="B3463" s="6" t="s">
        <v>6215</v>
      </c>
      <c r="C3463" s="2624">
        <v>65</v>
      </c>
      <c r="D3463" s="2624">
        <v>4010521.45752843</v>
      </c>
      <c r="E3463" s="2625">
        <v>1174159.3292495599</v>
      </c>
      <c r="F3463" s="2626">
        <v>0.601175087381699</v>
      </c>
      <c r="G3463" s="2627">
        <v>0.17908352511396999</v>
      </c>
    </row>
    <row r="3464" spans="1:7" x14ac:dyDescent="0.3">
      <c r="A3464" s="11" t="s">
        <v>1023</v>
      </c>
      <c r="B3464" s="11" t="s">
        <v>6212</v>
      </c>
      <c r="C3464" s="2628">
        <v>41</v>
      </c>
      <c r="D3464" s="2628">
        <v>3099378.04171731</v>
      </c>
      <c r="E3464" s="2629">
        <v>897563.27373515104</v>
      </c>
      <c r="F3464" s="2630">
        <v>0.464595161699148</v>
      </c>
      <c r="G3464" s="2631">
        <v>0.14816368724926901</v>
      </c>
    </row>
    <row r="3465" spans="1:7" x14ac:dyDescent="0.3">
      <c r="A3465" s="6" t="s">
        <v>1061</v>
      </c>
      <c r="B3465" s="6" t="s">
        <v>6219</v>
      </c>
      <c r="C3465" s="2624">
        <v>16</v>
      </c>
      <c r="D3465" s="2624">
        <v>2298341.4561794298</v>
      </c>
      <c r="E3465" s="2625">
        <v>1485582.8413901799</v>
      </c>
      <c r="F3465" s="2626">
        <v>0.34452019279386997</v>
      </c>
      <c r="G3465" s="2627">
        <v>0.22242067697350901</v>
      </c>
    </row>
    <row r="3466" spans="1:7" x14ac:dyDescent="0.3">
      <c r="A3466" s="11" t="s">
        <v>1052</v>
      </c>
      <c r="B3466" s="11" t="s">
        <v>1083</v>
      </c>
      <c r="C3466" s="2628">
        <v>35</v>
      </c>
      <c r="D3466" s="2628">
        <v>2283437.7737213299</v>
      </c>
      <c r="E3466" s="2629">
        <v>665676.06686201796</v>
      </c>
      <c r="F3466" s="2630">
        <v>0.34228613851964701</v>
      </c>
      <c r="G3466" s="2631">
        <v>0.105573155329255</v>
      </c>
    </row>
    <row r="3467" spans="1:7" x14ac:dyDescent="0.3">
      <c r="A3467" s="6" t="s">
        <v>1063</v>
      </c>
      <c r="B3467" s="6" t="s">
        <v>6220</v>
      </c>
      <c r="C3467" s="2624">
        <v>3</v>
      </c>
      <c r="D3467" s="2624">
        <v>254834.09525496501</v>
      </c>
      <c r="E3467" s="2625">
        <v>175259.326331363</v>
      </c>
      <c r="F3467" s="2626">
        <v>3.8199498769706602E-2</v>
      </c>
      <c r="G3467" s="2627">
        <v>2.6785510609249399E-2</v>
      </c>
    </row>
    <row r="3468" spans="1:7" x14ac:dyDescent="0.3">
      <c r="A3468" s="11" t="s">
        <v>1015</v>
      </c>
      <c r="B3468" s="11" t="s">
        <v>1016</v>
      </c>
      <c r="C3468" s="2628">
        <v>2</v>
      </c>
      <c r="D3468" s="2628">
        <v>391562.28450877802</v>
      </c>
      <c r="E3468" s="2629">
        <v>386712.43445211201</v>
      </c>
      <c r="F3468" s="2630">
        <v>98.048575092442604</v>
      </c>
      <c r="G3468" s="2631">
        <v>26.840716818483301</v>
      </c>
    </row>
    <row r="3469" spans="1:7" x14ac:dyDescent="0.3">
      <c r="A3469" s="6" t="s">
        <v>1017</v>
      </c>
      <c r="B3469" s="6" t="s">
        <v>1018</v>
      </c>
      <c r="C3469" s="2624">
        <v>1</v>
      </c>
      <c r="D3469" s="2624">
        <v>7793.1208498449396</v>
      </c>
      <c r="E3469" s="2625">
        <v>8393.4034138613297</v>
      </c>
      <c r="F3469" s="2626">
        <v>1.95142490755739</v>
      </c>
      <c r="G3469" s="2627">
        <v>26.840716818483301</v>
      </c>
    </row>
    <row r="3470" spans="1:7" x14ac:dyDescent="0.3">
      <c r="A3470" s="11" t="s">
        <v>6354</v>
      </c>
      <c r="B3470" s="11" t="s">
        <v>6355</v>
      </c>
      <c r="C3470" s="2628">
        <v>7512</v>
      </c>
      <c r="D3470" s="2628">
        <v>667113714.74082196</v>
      </c>
      <c r="E3470" s="2629">
        <v>23355353.082909901</v>
      </c>
      <c r="F3470" s="2630">
        <v>99.940172646316697</v>
      </c>
      <c r="G3470" s="2631">
        <v>5.7128665714655302E-2</v>
      </c>
    </row>
    <row r="3471" spans="1:7" x14ac:dyDescent="0.3">
      <c r="A3471" s="6" t="s">
        <v>6354</v>
      </c>
      <c r="B3471" s="6" t="s">
        <v>6356</v>
      </c>
      <c r="C3471" s="2624">
        <v>7515</v>
      </c>
      <c r="D3471" s="2624">
        <v>667513070.14618099</v>
      </c>
      <c r="E3471" s="2625">
        <v>0</v>
      </c>
      <c r="F3471" s="2626">
        <v>100</v>
      </c>
      <c r="G3471" s="2627">
        <v>0</v>
      </c>
    </row>
    <row r="3472" spans="1:7" x14ac:dyDescent="0.3">
      <c r="A3472" s="3449" t="s">
        <v>945</v>
      </c>
      <c r="B3472" s="3450"/>
      <c r="C3472" s="3450"/>
      <c r="D3472" s="3450"/>
      <c r="E3472" s="3450"/>
      <c r="F3472" s="3450"/>
      <c r="G3472" s="3450"/>
    </row>
    <row r="3473" spans="1:7" x14ac:dyDescent="0.3">
      <c r="A3473" s="11" t="s">
        <v>6620</v>
      </c>
      <c r="B3473" s="11"/>
      <c r="C3473" s="2636">
        <v>29</v>
      </c>
      <c r="D3473" s="2636">
        <v>2172787.1588584501</v>
      </c>
      <c r="E3473" s="2637">
        <v>666330.10844771506</v>
      </c>
      <c r="F3473" s="2638">
        <v>95.154209318235203</v>
      </c>
      <c r="G3473" s="2639">
        <v>4.31446355395145</v>
      </c>
    </row>
    <row r="3474" spans="1:7" x14ac:dyDescent="0.3">
      <c r="A3474" s="6" t="s">
        <v>6621</v>
      </c>
      <c r="B3474" s="6"/>
      <c r="C3474" s="2632">
        <v>6</v>
      </c>
      <c r="D3474" s="2632">
        <v>110650.614862886</v>
      </c>
      <c r="E3474" s="2633">
        <v>95802.071346361801</v>
      </c>
      <c r="F3474" s="2634">
        <v>4.8457906817648002</v>
      </c>
      <c r="G3474" s="2635">
        <v>4.3144635539514598</v>
      </c>
    </row>
    <row r="3475" spans="1:7" x14ac:dyDescent="0.3">
      <c r="A3475" s="11" t="s">
        <v>1019</v>
      </c>
      <c r="B3475" s="11" t="s">
        <v>1020</v>
      </c>
      <c r="C3475" s="2636">
        <v>7480</v>
      </c>
      <c r="D3475" s="2636">
        <v>665229632.37245703</v>
      </c>
      <c r="E3475" s="2637">
        <v>23874918.366799202</v>
      </c>
      <c r="F3475" s="2638">
        <v>100</v>
      </c>
      <c r="G3475" s="2639">
        <v>0</v>
      </c>
    </row>
    <row r="3476" spans="1:7" x14ac:dyDescent="0.3">
      <c r="A3476" s="6" t="s">
        <v>6354</v>
      </c>
      <c r="B3476" s="6" t="s">
        <v>6355</v>
      </c>
      <c r="C3476" s="2632">
        <v>35</v>
      </c>
      <c r="D3476" s="2632">
        <v>2283437.7737213299</v>
      </c>
      <c r="E3476" s="2633">
        <v>665676.06686201796</v>
      </c>
      <c r="F3476" s="2634">
        <v>0.342081357780947</v>
      </c>
      <c r="G3476" s="2635">
        <v>0.105599653895031</v>
      </c>
    </row>
    <row r="3477" spans="1:7" x14ac:dyDescent="0.3">
      <c r="A3477" s="11" t="s">
        <v>6354</v>
      </c>
      <c r="B3477" s="11" t="s">
        <v>6356</v>
      </c>
      <c r="C3477" s="2636">
        <v>7515</v>
      </c>
      <c r="D3477" s="2636">
        <v>667513070.14617801</v>
      </c>
      <c r="E3477" s="2637">
        <v>0</v>
      </c>
      <c r="F3477" s="2638">
        <v>100</v>
      </c>
      <c r="G3477" s="2639">
        <v>0</v>
      </c>
    </row>
    <row r="3478" spans="1:7" x14ac:dyDescent="0.3">
      <c r="A3478" s="3449" t="s">
        <v>403</v>
      </c>
      <c r="B3478" s="3450"/>
      <c r="C3478" s="3450"/>
      <c r="D3478" s="3450"/>
      <c r="E3478" s="3450"/>
      <c r="F3478" s="3450"/>
      <c r="G3478" s="3450"/>
    </row>
    <row r="3479" spans="1:7" x14ac:dyDescent="0.3">
      <c r="A3479" s="11" t="s">
        <v>1023</v>
      </c>
      <c r="B3479" s="11"/>
      <c r="C3479" s="2644">
        <v>7379</v>
      </c>
      <c r="D3479" s="2644">
        <v>656425422.13327205</v>
      </c>
      <c r="E3479" s="2645">
        <v>23864235.406304602</v>
      </c>
      <c r="F3479" s="2646">
        <v>98.338961661008696</v>
      </c>
      <c r="G3479" s="2647">
        <v>0.23434242333022101</v>
      </c>
    </row>
    <row r="3480" spans="1:7" x14ac:dyDescent="0.3">
      <c r="A3480" s="6" t="s">
        <v>1021</v>
      </c>
      <c r="B3480" s="6"/>
      <c r="C3480" s="2640">
        <v>136</v>
      </c>
      <c r="D3480" s="2640">
        <v>11087648.0129057</v>
      </c>
      <c r="E3480" s="2641">
        <v>1432719.38951608</v>
      </c>
      <c r="F3480" s="2642">
        <v>1.66103833899127</v>
      </c>
      <c r="G3480" s="2643">
        <v>0.23434242333022001</v>
      </c>
    </row>
    <row r="3481" spans="1:7" x14ac:dyDescent="0.3">
      <c r="A3481" s="11" t="s">
        <v>6354</v>
      </c>
      <c r="B3481" s="11" t="s">
        <v>6355</v>
      </c>
      <c r="C3481" s="2644">
        <v>7515</v>
      </c>
      <c r="D3481" s="2644">
        <v>667513070.14617705</v>
      </c>
      <c r="E3481" s="2645">
        <v>23529830.745543402</v>
      </c>
      <c r="F3481" s="2646">
        <v>100</v>
      </c>
      <c r="G3481" s="2647">
        <v>2.29838001744816E-14</v>
      </c>
    </row>
    <row r="3482" spans="1:7" x14ac:dyDescent="0.3">
      <c r="A3482" s="6" t="s">
        <v>6354</v>
      </c>
      <c r="B3482" s="6" t="s">
        <v>6356</v>
      </c>
      <c r="C3482" s="2640">
        <v>7515</v>
      </c>
      <c r="D3482" s="2640">
        <v>667513070.14617705</v>
      </c>
      <c r="E3482" s="2641">
        <v>0</v>
      </c>
      <c r="F3482" s="2642">
        <v>100</v>
      </c>
      <c r="G3482" s="2643">
        <v>0</v>
      </c>
    </row>
    <row r="3483" spans="1:7" x14ac:dyDescent="0.3">
      <c r="A3483" s="3449" t="s">
        <v>551</v>
      </c>
      <c r="B3483" s="3450"/>
      <c r="C3483" s="3450"/>
      <c r="D3483" s="3450"/>
      <c r="E3483" s="3450"/>
      <c r="F3483" s="3450"/>
      <c r="G3483" s="3450"/>
    </row>
    <row r="3484" spans="1:7" x14ac:dyDescent="0.3">
      <c r="A3484" s="11" t="s">
        <v>1021</v>
      </c>
      <c r="B3484" s="11" t="s">
        <v>6063</v>
      </c>
      <c r="C3484" s="2652">
        <v>11</v>
      </c>
      <c r="D3484" s="2652">
        <v>1927637.8821264401</v>
      </c>
      <c r="E3484" s="2653">
        <v>894930.07058301696</v>
      </c>
      <c r="F3484" s="2654">
        <v>38.506722337404199</v>
      </c>
      <c r="G3484" s="2655">
        <v>17.419927646809398</v>
      </c>
    </row>
    <row r="3485" spans="1:7" x14ac:dyDescent="0.3">
      <c r="A3485" s="6" t="s">
        <v>1040</v>
      </c>
      <c r="B3485" s="6" t="s">
        <v>6069</v>
      </c>
      <c r="C3485" s="2648">
        <v>12</v>
      </c>
      <c r="D3485" s="2648">
        <v>1807627.1643634201</v>
      </c>
      <c r="E3485" s="2649">
        <v>922657.14236683096</v>
      </c>
      <c r="F3485" s="2650">
        <v>36.109374044313199</v>
      </c>
      <c r="G3485" s="2651">
        <v>20.317067653233099</v>
      </c>
    </row>
    <row r="3486" spans="1:7" x14ac:dyDescent="0.3">
      <c r="A3486" s="11" t="s">
        <v>1031</v>
      </c>
      <c r="B3486" s="11" t="s">
        <v>6068</v>
      </c>
      <c r="C3486" s="2652">
        <v>4</v>
      </c>
      <c r="D3486" s="2652">
        <v>805285.35534659203</v>
      </c>
      <c r="E3486" s="2653">
        <v>946390.42965492199</v>
      </c>
      <c r="F3486" s="2654">
        <v>16.0864755088244</v>
      </c>
      <c r="G3486" s="2655">
        <v>16.482504271432401</v>
      </c>
    </row>
    <row r="3487" spans="1:7" x14ac:dyDescent="0.3">
      <c r="A3487" s="6" t="s">
        <v>1023</v>
      </c>
      <c r="B3487" s="6" t="s">
        <v>6064</v>
      </c>
      <c r="C3487" s="2648">
        <v>1</v>
      </c>
      <c r="D3487" s="2648">
        <v>354920.155744216</v>
      </c>
      <c r="E3487" s="2649">
        <v>417975.017781595</v>
      </c>
      <c r="F3487" s="2650">
        <v>7.0899270116617901</v>
      </c>
      <c r="G3487" s="2651">
        <v>8.7059544637261403</v>
      </c>
    </row>
    <row r="3488" spans="1:7" x14ac:dyDescent="0.3">
      <c r="A3488" s="11" t="s">
        <v>1029</v>
      </c>
      <c r="B3488" s="11" t="s">
        <v>6067</v>
      </c>
      <c r="C3488" s="2652">
        <v>1</v>
      </c>
      <c r="D3488" s="2652">
        <v>110507.009754364</v>
      </c>
      <c r="E3488" s="2653">
        <v>113893.61955865999</v>
      </c>
      <c r="F3488" s="2654">
        <v>2.2075010977964298</v>
      </c>
      <c r="G3488" s="2655">
        <v>2.27920403088961</v>
      </c>
    </row>
    <row r="3489" spans="1:7" x14ac:dyDescent="0.3">
      <c r="A3489" s="6" t="s">
        <v>1019</v>
      </c>
      <c r="B3489" s="6" t="s">
        <v>1020</v>
      </c>
      <c r="C3489" s="2648">
        <v>7486</v>
      </c>
      <c r="D3489" s="2648">
        <v>662507092.57884204</v>
      </c>
      <c r="E3489" s="2649">
        <v>24356457.005369399</v>
      </c>
      <c r="F3489" s="2650">
        <v>100</v>
      </c>
      <c r="G3489" s="2651">
        <v>0</v>
      </c>
    </row>
    <row r="3490" spans="1:7" x14ac:dyDescent="0.3">
      <c r="A3490" s="11" t="s">
        <v>6354</v>
      </c>
      <c r="B3490" s="11" t="s">
        <v>6355</v>
      </c>
      <c r="C3490" s="2652">
        <v>29</v>
      </c>
      <c r="D3490" s="2652">
        <v>5005977.5673350301</v>
      </c>
      <c r="E3490" s="2653">
        <v>1661433.7617152301</v>
      </c>
      <c r="F3490" s="2654">
        <v>0.74994450164680304</v>
      </c>
      <c r="G3490" s="2655">
        <v>0.25989732097742302</v>
      </c>
    </row>
    <row r="3491" spans="1:7" x14ac:dyDescent="0.3">
      <c r="A3491" s="6" t="s">
        <v>6354</v>
      </c>
      <c r="B3491" s="6" t="s">
        <v>6356</v>
      </c>
      <c r="C3491" s="2648">
        <v>7515</v>
      </c>
      <c r="D3491" s="2648">
        <v>667513070.14617705</v>
      </c>
      <c r="E3491" s="2649">
        <v>0</v>
      </c>
      <c r="F3491" s="2650">
        <v>100</v>
      </c>
      <c r="G3491" s="2651">
        <v>0</v>
      </c>
    </row>
    <row r="3492" spans="1:7" x14ac:dyDescent="0.3">
      <c r="A3492" s="3449" t="s">
        <v>814</v>
      </c>
      <c r="B3492" s="3450"/>
      <c r="C3492" s="3450"/>
      <c r="D3492" s="3450"/>
      <c r="E3492" s="3450"/>
      <c r="F3492" s="3450"/>
      <c r="G3492" s="3450"/>
    </row>
    <row r="3493" spans="1:7" x14ac:dyDescent="0.3">
      <c r="A3493" s="11" t="s">
        <v>1021</v>
      </c>
      <c r="B3493" s="11" t="s">
        <v>1106</v>
      </c>
      <c r="C3493" s="2660">
        <v>6546</v>
      </c>
      <c r="D3493" s="2660">
        <v>563322347.48534596</v>
      </c>
      <c r="E3493" s="2661">
        <v>23031269.4380325</v>
      </c>
      <c r="F3493" s="2662">
        <v>84.391208603897894</v>
      </c>
      <c r="G3493" s="2663">
        <v>1.5302891445026601</v>
      </c>
    </row>
    <row r="3494" spans="1:7" x14ac:dyDescent="0.3">
      <c r="A3494" s="6" t="s">
        <v>1023</v>
      </c>
      <c r="B3494" s="6" t="s">
        <v>1107</v>
      </c>
      <c r="C3494" s="2656">
        <v>969</v>
      </c>
      <c r="D3494" s="2656">
        <v>104190722.660834</v>
      </c>
      <c r="E3494" s="2657">
        <v>10663502.802045699</v>
      </c>
      <c r="F3494" s="2658">
        <v>15.608791396102101</v>
      </c>
      <c r="G3494" s="2659">
        <v>1.5302891445026501</v>
      </c>
    </row>
    <row r="3495" spans="1:7" x14ac:dyDescent="0.3">
      <c r="A3495" s="11" t="s">
        <v>6354</v>
      </c>
      <c r="B3495" s="11" t="s">
        <v>6355</v>
      </c>
      <c r="C3495" s="2660">
        <v>7515</v>
      </c>
      <c r="D3495" s="2660">
        <v>667513070.14617896</v>
      </c>
      <c r="E3495" s="2661">
        <v>23529830.745544299</v>
      </c>
      <c r="F3495" s="2662">
        <v>100</v>
      </c>
      <c r="G3495" s="2663">
        <v>1.02786679142825E-14</v>
      </c>
    </row>
    <row r="3496" spans="1:7" x14ac:dyDescent="0.3">
      <c r="A3496" s="6" t="s">
        <v>6354</v>
      </c>
      <c r="B3496" s="6" t="s">
        <v>6356</v>
      </c>
      <c r="C3496" s="2656">
        <v>7515</v>
      </c>
      <c r="D3496" s="2656">
        <v>667513070.14617896</v>
      </c>
      <c r="E3496" s="2657">
        <v>0</v>
      </c>
      <c r="F3496" s="2658">
        <v>100</v>
      </c>
      <c r="G3496" s="2659">
        <v>0</v>
      </c>
    </row>
    <row r="3497" spans="1:7" x14ac:dyDescent="0.3">
      <c r="A3497" s="3449" t="s">
        <v>244</v>
      </c>
      <c r="B3497" s="3450"/>
      <c r="C3497" s="3450"/>
      <c r="D3497" s="3450"/>
      <c r="E3497" s="3450"/>
      <c r="F3497" s="3450"/>
      <c r="G3497" s="3450"/>
    </row>
    <row r="3498" spans="1:7" x14ac:dyDescent="0.3">
      <c r="A3498" s="11" t="s">
        <v>1021</v>
      </c>
      <c r="B3498" s="11" t="s">
        <v>1106</v>
      </c>
      <c r="C3498" s="2668">
        <v>6573</v>
      </c>
      <c r="D3498" s="2668">
        <v>563021836.66447604</v>
      </c>
      <c r="E3498" s="2669">
        <v>22054871.598929498</v>
      </c>
      <c r="F3498" s="2670">
        <v>95.556174367822805</v>
      </c>
      <c r="G3498" s="2671">
        <v>0.83110493082387504</v>
      </c>
    </row>
    <row r="3499" spans="1:7" x14ac:dyDescent="0.3">
      <c r="A3499" s="6" t="s">
        <v>1023</v>
      </c>
      <c r="B3499" s="6" t="s">
        <v>1107</v>
      </c>
      <c r="C3499" s="2664">
        <v>294</v>
      </c>
      <c r="D3499" s="2664">
        <v>26183246.512300301</v>
      </c>
      <c r="E3499" s="2665">
        <v>5818702.3733898699</v>
      </c>
      <c r="F3499" s="2666">
        <v>4.4438256321771501</v>
      </c>
      <c r="G3499" s="2667">
        <v>0.83110493082387105</v>
      </c>
    </row>
    <row r="3500" spans="1:7" x14ac:dyDescent="0.3">
      <c r="A3500" s="11" t="s">
        <v>1019</v>
      </c>
      <c r="B3500" s="11"/>
      <c r="C3500" s="2668">
        <v>648</v>
      </c>
      <c r="D3500" s="2668">
        <v>78307986.969403505</v>
      </c>
      <c r="E3500" s="2669">
        <v>10078749.5786012</v>
      </c>
      <c r="F3500" s="2670">
        <v>100</v>
      </c>
      <c r="G3500" s="2671">
        <v>0</v>
      </c>
    </row>
    <row r="3501" spans="1:7" x14ac:dyDescent="0.3">
      <c r="A3501" s="6" t="s">
        <v>6354</v>
      </c>
      <c r="B3501" s="6" t="s">
        <v>6355</v>
      </c>
      <c r="C3501" s="2664">
        <v>6867</v>
      </c>
      <c r="D3501" s="2664">
        <v>589205083.17677605</v>
      </c>
      <c r="E3501" s="2665">
        <v>26775725.470509801</v>
      </c>
      <c r="F3501" s="2666">
        <v>88.268696079276097</v>
      </c>
      <c r="G3501" s="2667">
        <v>1.5984489001573901</v>
      </c>
    </row>
    <row r="3502" spans="1:7" x14ac:dyDescent="0.3">
      <c r="A3502" s="11" t="s">
        <v>6354</v>
      </c>
      <c r="B3502" s="11" t="s">
        <v>6356</v>
      </c>
      <c r="C3502" s="2668">
        <v>7515</v>
      </c>
      <c r="D3502" s="2668">
        <v>667513070.14618003</v>
      </c>
      <c r="E3502" s="2669">
        <v>0</v>
      </c>
      <c r="F3502" s="2670">
        <v>100</v>
      </c>
      <c r="G3502" s="2671">
        <v>0</v>
      </c>
    </row>
    <row r="3503" spans="1:7" x14ac:dyDescent="0.3">
      <c r="A3503" s="3449" t="s">
        <v>246</v>
      </c>
      <c r="B3503" s="3450"/>
      <c r="C3503" s="3450"/>
      <c r="D3503" s="3450"/>
      <c r="E3503" s="3450"/>
      <c r="F3503" s="3450"/>
      <c r="G3503" s="3450"/>
    </row>
    <row r="3504" spans="1:7" x14ac:dyDescent="0.3">
      <c r="A3504" s="11" t="s">
        <v>1021</v>
      </c>
      <c r="B3504" s="11"/>
      <c r="C3504" s="2676">
        <v>4916</v>
      </c>
      <c r="D3504" s="2676">
        <v>446644937.76399499</v>
      </c>
      <c r="E3504" s="2677">
        <v>13555028.066284699</v>
      </c>
      <c r="F3504" s="2678">
        <v>66.911789107917301</v>
      </c>
      <c r="G3504" s="2679">
        <v>1.73900457885524</v>
      </c>
    </row>
    <row r="3505" spans="1:7" x14ac:dyDescent="0.3">
      <c r="A3505" s="6" t="s">
        <v>1023</v>
      </c>
      <c r="B3505" s="6"/>
      <c r="C3505" s="2672">
        <v>1719</v>
      </c>
      <c r="D3505" s="2672">
        <v>130754623.617347</v>
      </c>
      <c r="E3505" s="2673">
        <v>13304483.3532035</v>
      </c>
      <c r="F3505" s="2674">
        <v>19.588324104082702</v>
      </c>
      <c r="G3505" s="2675">
        <v>1.8240036349606199</v>
      </c>
    </row>
    <row r="3506" spans="1:7" x14ac:dyDescent="0.3">
      <c r="A3506" s="11" t="s">
        <v>1025</v>
      </c>
      <c r="B3506" s="11"/>
      <c r="C3506" s="2676">
        <v>511</v>
      </c>
      <c r="D3506" s="2676">
        <v>60413655.738630302</v>
      </c>
      <c r="E3506" s="2677">
        <v>13488116.9792061</v>
      </c>
      <c r="F3506" s="2678">
        <v>9.0505577254689999</v>
      </c>
      <c r="G3506" s="2679">
        <v>1.8890541506446601</v>
      </c>
    </row>
    <row r="3507" spans="1:7" x14ac:dyDescent="0.3">
      <c r="A3507" s="6" t="s">
        <v>1027</v>
      </c>
      <c r="B3507" s="6"/>
      <c r="C3507" s="2672">
        <v>216</v>
      </c>
      <c r="D3507" s="2672">
        <v>19460017.9610742</v>
      </c>
      <c r="E3507" s="2673">
        <v>10064527.1568607</v>
      </c>
      <c r="F3507" s="2674">
        <v>2.9153014122723699</v>
      </c>
      <c r="G3507" s="2675">
        <v>1.4805085362506301</v>
      </c>
    </row>
    <row r="3508" spans="1:7" x14ac:dyDescent="0.3">
      <c r="A3508" s="11" t="s">
        <v>1029</v>
      </c>
      <c r="B3508" s="11"/>
      <c r="C3508" s="2676">
        <v>142</v>
      </c>
      <c r="D3508" s="2676">
        <v>7089784.7009975798</v>
      </c>
      <c r="E3508" s="2677">
        <v>2206867.6822537002</v>
      </c>
      <c r="F3508" s="2678">
        <v>1.0621192330278999</v>
      </c>
      <c r="G3508" s="2679">
        <v>0.33419729031913198</v>
      </c>
    </row>
    <row r="3509" spans="1:7" x14ac:dyDescent="0.3">
      <c r="A3509" s="6" t="s">
        <v>1031</v>
      </c>
      <c r="B3509" s="6"/>
      <c r="C3509" s="2672">
        <v>11</v>
      </c>
      <c r="D3509" s="2672">
        <v>3150050.3641352099</v>
      </c>
      <c r="E3509" s="2673">
        <v>2375254.1406898499</v>
      </c>
      <c r="F3509" s="2674">
        <v>0.471908417230749</v>
      </c>
      <c r="G3509" s="2675">
        <v>0.35915229390881498</v>
      </c>
    </row>
    <row r="3510" spans="1:7" x14ac:dyDescent="0.3">
      <c r="A3510" s="11" t="s">
        <v>6354</v>
      </c>
      <c r="B3510" s="11" t="s">
        <v>6355</v>
      </c>
      <c r="C3510" s="2676">
        <v>7515</v>
      </c>
      <c r="D3510" s="2676">
        <v>667513070.14617896</v>
      </c>
      <c r="E3510" s="2677">
        <v>23529830.745545302</v>
      </c>
      <c r="F3510" s="2678">
        <v>100</v>
      </c>
      <c r="G3510" s="2679">
        <v>1.78031750616652E-14</v>
      </c>
    </row>
    <row r="3511" spans="1:7" x14ac:dyDescent="0.3">
      <c r="A3511" s="6" t="s">
        <v>6354</v>
      </c>
      <c r="B3511" s="6" t="s">
        <v>6356</v>
      </c>
      <c r="C3511" s="2672">
        <v>7515</v>
      </c>
      <c r="D3511" s="2672">
        <v>667513070.14617896</v>
      </c>
      <c r="E3511" s="2673">
        <v>0</v>
      </c>
      <c r="F3511" s="2674">
        <v>100</v>
      </c>
      <c r="G3511" s="2675">
        <v>0</v>
      </c>
    </row>
    <row r="3512" spans="1:7" x14ac:dyDescent="0.3">
      <c r="A3512" s="3449" t="s">
        <v>448</v>
      </c>
      <c r="B3512" s="3450"/>
      <c r="C3512" s="3450"/>
      <c r="D3512" s="3450"/>
      <c r="E3512" s="3450"/>
      <c r="F3512" s="3450"/>
      <c r="G3512" s="3450"/>
    </row>
    <row r="3513" spans="1:7" x14ac:dyDescent="0.3">
      <c r="A3513" s="11" t="s">
        <v>1219</v>
      </c>
      <c r="B3513" s="11"/>
      <c r="C3513" s="2684">
        <v>6091</v>
      </c>
      <c r="D3513" s="2684">
        <v>550102756.87273502</v>
      </c>
      <c r="E3513" s="2685">
        <v>17495925.845217999</v>
      </c>
      <c r="F3513" s="2686">
        <v>82.410784368951397</v>
      </c>
      <c r="G3513" s="2687">
        <v>1.06060559553745</v>
      </c>
    </row>
    <row r="3514" spans="1:7" x14ac:dyDescent="0.3">
      <c r="A3514" s="6" t="s">
        <v>1021</v>
      </c>
      <c r="B3514" s="6"/>
      <c r="C3514" s="2680">
        <v>1018</v>
      </c>
      <c r="D3514" s="2680">
        <v>87481620.003020406</v>
      </c>
      <c r="E3514" s="2681">
        <v>6276104.2481089104</v>
      </c>
      <c r="F3514" s="2682">
        <v>13.1056040571405</v>
      </c>
      <c r="G3514" s="2683">
        <v>0.79651650889041303</v>
      </c>
    </row>
    <row r="3515" spans="1:7" x14ac:dyDescent="0.3">
      <c r="A3515" s="11" t="s">
        <v>1023</v>
      </c>
      <c r="B3515" s="11"/>
      <c r="C3515" s="2684">
        <v>205</v>
      </c>
      <c r="D3515" s="2684">
        <v>17263995.633789402</v>
      </c>
      <c r="E3515" s="2685">
        <v>2864363.7687633298</v>
      </c>
      <c r="F3515" s="2686">
        <v>2.5863157450997498</v>
      </c>
      <c r="G3515" s="2687">
        <v>0.37244320977954398</v>
      </c>
    </row>
    <row r="3516" spans="1:7" x14ac:dyDescent="0.3">
      <c r="A3516" s="6" t="s">
        <v>1025</v>
      </c>
      <c r="B3516" s="6"/>
      <c r="C3516" s="2680">
        <v>100</v>
      </c>
      <c r="D3516" s="2680">
        <v>6645261.7075127698</v>
      </c>
      <c r="E3516" s="2681">
        <v>2224407.6816506102</v>
      </c>
      <c r="F3516" s="2682">
        <v>0.99552533196953297</v>
      </c>
      <c r="G3516" s="2683">
        <v>0.30237454266117603</v>
      </c>
    </row>
    <row r="3517" spans="1:7" x14ac:dyDescent="0.3">
      <c r="A3517" s="11" t="s">
        <v>1027</v>
      </c>
      <c r="B3517" s="11"/>
      <c r="C3517" s="2684">
        <v>55</v>
      </c>
      <c r="D3517" s="2684">
        <v>3323166.5596934501</v>
      </c>
      <c r="E3517" s="2685">
        <v>763178.10311553394</v>
      </c>
      <c r="F3517" s="2686">
        <v>0.49784291998442998</v>
      </c>
      <c r="G3517" s="2687">
        <v>0.124526031413265</v>
      </c>
    </row>
    <row r="3518" spans="1:7" x14ac:dyDescent="0.3">
      <c r="A3518" s="6" t="s">
        <v>1031</v>
      </c>
      <c r="B3518" s="6"/>
      <c r="C3518" s="2680">
        <v>22</v>
      </c>
      <c r="D3518" s="2680">
        <v>740846.28476843203</v>
      </c>
      <c r="E3518" s="2681">
        <v>614432.86056695902</v>
      </c>
      <c r="F3518" s="2682">
        <v>0.110986034266894</v>
      </c>
      <c r="G3518" s="2683">
        <v>9.1879002514939301E-2</v>
      </c>
    </row>
    <row r="3519" spans="1:7" x14ac:dyDescent="0.3">
      <c r="A3519" s="11" t="s">
        <v>1040</v>
      </c>
      <c r="B3519" s="11"/>
      <c r="C3519" s="2684">
        <v>5</v>
      </c>
      <c r="D3519" s="2684">
        <v>714478.96280021896</v>
      </c>
      <c r="E3519" s="2685">
        <v>486056.92338879203</v>
      </c>
      <c r="F3519" s="2686">
        <v>0.107035951017971</v>
      </c>
      <c r="G3519" s="2687">
        <v>7.2003231696567402E-2</v>
      </c>
    </row>
    <row r="3520" spans="1:7" x14ac:dyDescent="0.3">
      <c r="A3520" s="6" t="s">
        <v>1061</v>
      </c>
      <c r="B3520" s="6"/>
      <c r="C3520" s="2680">
        <v>2</v>
      </c>
      <c r="D3520" s="2680">
        <v>321837.99327077402</v>
      </c>
      <c r="E3520" s="2681">
        <v>340569.79921877099</v>
      </c>
      <c r="F3520" s="2682">
        <v>4.8214485628018403E-2</v>
      </c>
      <c r="G3520" s="2683">
        <v>5.0743538730339398E-2</v>
      </c>
    </row>
    <row r="3521" spans="1:7" x14ac:dyDescent="0.3">
      <c r="A3521" s="11" t="s">
        <v>3134</v>
      </c>
      <c r="B3521" s="11"/>
      <c r="C3521" s="2684">
        <v>2</v>
      </c>
      <c r="D3521" s="2684">
        <v>200654.64300221999</v>
      </c>
      <c r="E3521" s="2685">
        <v>207391.688457221</v>
      </c>
      <c r="F3521" s="2686">
        <v>3.0060032076717001E-2</v>
      </c>
      <c r="G3521" s="2687">
        <v>3.0765993550717099E-2</v>
      </c>
    </row>
    <row r="3522" spans="1:7" x14ac:dyDescent="0.3">
      <c r="A3522" s="6" t="s">
        <v>1222</v>
      </c>
      <c r="B3522" s="6"/>
      <c r="C3522" s="2680">
        <v>1</v>
      </c>
      <c r="D3522" s="2680">
        <v>172822.17869049701</v>
      </c>
      <c r="E3522" s="2681">
        <v>200750.21440999999</v>
      </c>
      <c r="F3522" s="2682">
        <v>2.5890456145323201E-2</v>
      </c>
      <c r="G3522" s="2683">
        <v>2.97354436899132E-2</v>
      </c>
    </row>
    <row r="3523" spans="1:7" x14ac:dyDescent="0.3">
      <c r="A3523" s="11" t="s">
        <v>1063</v>
      </c>
      <c r="B3523" s="11"/>
      <c r="C3523" s="2684">
        <v>2</v>
      </c>
      <c r="D3523" s="2684">
        <v>127902.65497106301</v>
      </c>
      <c r="E3523" s="2685">
        <v>130959.920039727</v>
      </c>
      <c r="F3523" s="2686">
        <v>1.9161071249594201E-2</v>
      </c>
      <c r="G3523" s="2687">
        <v>1.94262616038774E-2</v>
      </c>
    </row>
    <row r="3524" spans="1:7" x14ac:dyDescent="0.3">
      <c r="A3524" s="6" t="s">
        <v>1067</v>
      </c>
      <c r="B3524" s="6"/>
      <c r="C3524" s="2680">
        <v>2</v>
      </c>
      <c r="D3524" s="2680">
        <v>127902.65497106301</v>
      </c>
      <c r="E3524" s="2681">
        <v>130959.920039727</v>
      </c>
      <c r="F3524" s="2682">
        <v>1.9161071249594201E-2</v>
      </c>
      <c r="G3524" s="2683">
        <v>1.94262616038774E-2</v>
      </c>
    </row>
    <row r="3525" spans="1:7" x14ac:dyDescent="0.3">
      <c r="A3525" s="11" t="s">
        <v>1224</v>
      </c>
      <c r="B3525" s="11"/>
      <c r="C3525" s="2684">
        <v>2</v>
      </c>
      <c r="D3525" s="2684">
        <v>89055.864581036396</v>
      </c>
      <c r="E3525" s="2685">
        <v>94116.313099150706</v>
      </c>
      <c r="F3525" s="2686">
        <v>1.33414413236184E-2</v>
      </c>
      <c r="G3525" s="2687">
        <v>1.40297475363509E-2</v>
      </c>
    </row>
    <row r="3526" spans="1:7" x14ac:dyDescent="0.3">
      <c r="A3526" s="6" t="s">
        <v>1042</v>
      </c>
      <c r="B3526" s="6"/>
      <c r="C3526" s="2680">
        <v>1</v>
      </c>
      <c r="D3526" s="2680">
        <v>73105.170203513102</v>
      </c>
      <c r="E3526" s="2681">
        <v>83458.826898397296</v>
      </c>
      <c r="F3526" s="2682">
        <v>1.0951870977972599E-2</v>
      </c>
      <c r="G3526" s="2683">
        <v>1.22965195504332E-2</v>
      </c>
    </row>
    <row r="3527" spans="1:7" x14ac:dyDescent="0.3">
      <c r="A3527" s="11" t="s">
        <v>1029</v>
      </c>
      <c r="B3527" s="11"/>
      <c r="C3527" s="2684">
        <v>4</v>
      </c>
      <c r="D3527" s="2684">
        <v>43359.572871498996</v>
      </c>
      <c r="E3527" s="2685">
        <v>48035.558320263</v>
      </c>
      <c r="F3527" s="2686">
        <v>6.4956889701056602E-3</v>
      </c>
      <c r="G3527" s="2687">
        <v>7.1164399433446103E-3</v>
      </c>
    </row>
    <row r="3528" spans="1:7" x14ac:dyDescent="0.3">
      <c r="A3528" s="6" t="s">
        <v>1065</v>
      </c>
      <c r="B3528" s="6"/>
      <c r="C3528" s="2680">
        <v>1</v>
      </c>
      <c r="D3528" s="2680">
        <v>41195.562889888897</v>
      </c>
      <c r="E3528" s="2681">
        <v>44986.331234946898</v>
      </c>
      <c r="F3528" s="2682">
        <v>6.1714990660583597E-3</v>
      </c>
      <c r="G3528" s="2683">
        <v>6.7152048149510396E-3</v>
      </c>
    </row>
    <row r="3529" spans="1:7" x14ac:dyDescent="0.3">
      <c r="A3529" s="11" t="s">
        <v>1075</v>
      </c>
      <c r="B3529" s="11"/>
      <c r="C3529" s="2684">
        <v>1</v>
      </c>
      <c r="D3529" s="2684">
        <v>32541.572746443599</v>
      </c>
      <c r="E3529" s="2685">
        <v>34609.824805952601</v>
      </c>
      <c r="F3529" s="2686">
        <v>4.8750465274511098E-3</v>
      </c>
      <c r="G3529" s="2687">
        <v>5.1265396404639599E-3</v>
      </c>
    </row>
    <row r="3530" spans="1:7" x14ac:dyDescent="0.3">
      <c r="A3530" s="6" t="s">
        <v>3099</v>
      </c>
      <c r="B3530" s="6"/>
      <c r="C3530" s="2680">
        <v>1</v>
      </c>
      <c r="D3530" s="2680">
        <v>10566.253661819001</v>
      </c>
      <c r="E3530" s="2681">
        <v>10950.0882240848</v>
      </c>
      <c r="F3530" s="2682">
        <v>1.5829283551714E-3</v>
      </c>
      <c r="G3530" s="2683">
        <v>1.63346763645578E-3</v>
      </c>
    </row>
    <row r="3531" spans="1:7" x14ac:dyDescent="0.3">
      <c r="A3531" s="11" t="s">
        <v>6354</v>
      </c>
      <c r="B3531" s="11" t="s">
        <v>6355</v>
      </c>
      <c r="C3531" s="2684">
        <v>7515</v>
      </c>
      <c r="D3531" s="2684">
        <v>667513070.14617896</v>
      </c>
      <c r="E3531" s="2685">
        <v>23529830.745545998</v>
      </c>
      <c r="F3531" s="2686">
        <v>100</v>
      </c>
      <c r="G3531" s="2687">
        <v>2.71947991102104E-14</v>
      </c>
    </row>
    <row r="3532" spans="1:7" x14ac:dyDescent="0.3">
      <c r="A3532" s="6" t="s">
        <v>6354</v>
      </c>
      <c r="B3532" s="6" t="s">
        <v>6356</v>
      </c>
      <c r="C3532" s="2680">
        <v>7515</v>
      </c>
      <c r="D3532" s="2680">
        <v>667513070.14617896</v>
      </c>
      <c r="E3532" s="2681">
        <v>0</v>
      </c>
      <c r="F3532" s="2682">
        <v>100</v>
      </c>
      <c r="G3532" s="2683">
        <v>0</v>
      </c>
    </row>
    <row r="3533" spans="1:7" x14ac:dyDescent="0.3">
      <c r="A3533" s="3449" t="s">
        <v>452</v>
      </c>
      <c r="B3533" s="3450"/>
      <c r="C3533" s="3450"/>
      <c r="D3533" s="3450"/>
      <c r="E3533" s="3450"/>
      <c r="F3533" s="3450"/>
      <c r="G3533" s="3450"/>
    </row>
    <row r="3534" spans="1:7" x14ac:dyDescent="0.3">
      <c r="A3534" s="11" t="s">
        <v>6357</v>
      </c>
      <c r="B3534" s="11"/>
      <c r="C3534" s="2692">
        <v>3962</v>
      </c>
      <c r="D3534" s="2692">
        <v>364746591.23070699</v>
      </c>
      <c r="E3534" s="2693">
        <v>10385942.0518487</v>
      </c>
      <c r="F3534" s="2694">
        <v>54.642614136503902</v>
      </c>
      <c r="G3534" s="2695">
        <v>2.1916741065140299</v>
      </c>
    </row>
    <row r="3535" spans="1:7" x14ac:dyDescent="0.3">
      <c r="A3535" s="6" t="s">
        <v>6359</v>
      </c>
      <c r="B3535" s="6"/>
      <c r="C3535" s="2688">
        <v>2097</v>
      </c>
      <c r="D3535" s="2688">
        <v>167182147.077241</v>
      </c>
      <c r="E3535" s="2689">
        <v>15313652.6208326</v>
      </c>
      <c r="F3535" s="2690">
        <v>25.045524133427101</v>
      </c>
      <c r="G3535" s="2691">
        <v>1.8331164622948299</v>
      </c>
    </row>
    <row r="3536" spans="1:7" x14ac:dyDescent="0.3">
      <c r="A3536" s="11" t="s">
        <v>6358</v>
      </c>
      <c r="B3536" s="11"/>
      <c r="C3536" s="2692">
        <v>804</v>
      </c>
      <c r="D3536" s="2692">
        <v>82161425.353907004</v>
      </c>
      <c r="E3536" s="2693">
        <v>9977008.9193484392</v>
      </c>
      <c r="F3536" s="2694">
        <v>12.3085867570974</v>
      </c>
      <c r="G3536" s="2695">
        <v>1.3650797533938701</v>
      </c>
    </row>
    <row r="3537" spans="1:7" x14ac:dyDescent="0.3">
      <c r="A3537" s="6" t="s">
        <v>6360</v>
      </c>
      <c r="B3537" s="6"/>
      <c r="C3537" s="2688">
        <v>343</v>
      </c>
      <c r="D3537" s="2688">
        <v>33111585.840561699</v>
      </c>
      <c r="E3537" s="2689">
        <v>11592850.4695621</v>
      </c>
      <c r="F3537" s="2690">
        <v>4.9604400754745601</v>
      </c>
      <c r="G3537" s="2691">
        <v>1.6460214463677201</v>
      </c>
    </row>
    <row r="3538" spans="1:7" x14ac:dyDescent="0.3">
      <c r="A3538" s="11" t="s">
        <v>6361</v>
      </c>
      <c r="B3538" s="11"/>
      <c r="C3538" s="2692">
        <v>179</v>
      </c>
      <c r="D3538" s="2692">
        <v>12568128.457778599</v>
      </c>
      <c r="E3538" s="2693">
        <v>2165909.4391963799</v>
      </c>
      <c r="F3538" s="2694">
        <v>1.8828288193707301</v>
      </c>
      <c r="G3538" s="2695">
        <v>0.30477865790542702</v>
      </c>
    </row>
    <row r="3539" spans="1:7" x14ac:dyDescent="0.3">
      <c r="A3539" s="6" t="s">
        <v>6362</v>
      </c>
      <c r="B3539" s="6"/>
      <c r="C3539" s="2688">
        <v>38</v>
      </c>
      <c r="D3539" s="2688">
        <v>3813908.8869943898</v>
      </c>
      <c r="E3539" s="2689">
        <v>2198869.13850566</v>
      </c>
      <c r="F3539" s="2690">
        <v>0.57136093023005297</v>
      </c>
      <c r="G3539" s="2691">
        <v>0.335877273952845</v>
      </c>
    </row>
    <row r="3540" spans="1:7" x14ac:dyDescent="0.3">
      <c r="A3540" s="11" t="s">
        <v>6363</v>
      </c>
      <c r="B3540" s="11"/>
      <c r="C3540" s="2692">
        <v>42</v>
      </c>
      <c r="D3540" s="2692">
        <v>1116354.0251688999</v>
      </c>
      <c r="E3540" s="2693">
        <v>770685.01272429503</v>
      </c>
      <c r="F3540" s="2694">
        <v>0.16724077401577001</v>
      </c>
      <c r="G3540" s="2695">
        <v>0.11665102326089299</v>
      </c>
    </row>
    <row r="3541" spans="1:7" x14ac:dyDescent="0.3">
      <c r="A3541" s="6" t="s">
        <v>6364</v>
      </c>
      <c r="B3541" s="6"/>
      <c r="C3541" s="2688">
        <v>29</v>
      </c>
      <c r="D3541" s="2688">
        <v>1085830.2854603999</v>
      </c>
      <c r="E3541" s="2689">
        <v>431702.330718679</v>
      </c>
      <c r="F3541" s="2690">
        <v>0.162668018653569</v>
      </c>
      <c r="G3541" s="2691">
        <v>6.43029652378308E-2</v>
      </c>
    </row>
    <row r="3542" spans="1:7" x14ac:dyDescent="0.3">
      <c r="A3542" s="11" t="s">
        <v>6365</v>
      </c>
      <c r="B3542" s="11"/>
      <c r="C3542" s="2692">
        <v>7</v>
      </c>
      <c r="D3542" s="2692">
        <v>602619.60957496602</v>
      </c>
      <c r="E3542" s="2693">
        <v>610500.79809409403</v>
      </c>
      <c r="F3542" s="2694">
        <v>9.0278323605408703E-2</v>
      </c>
      <c r="G3542" s="2695">
        <v>9.1040352767722404E-2</v>
      </c>
    </row>
    <row r="3543" spans="1:7" x14ac:dyDescent="0.3">
      <c r="A3543" s="6" t="s">
        <v>1063</v>
      </c>
      <c r="B3543" s="6"/>
      <c r="C3543" s="2688">
        <v>2</v>
      </c>
      <c r="D3543" s="2688">
        <v>321837.99327077402</v>
      </c>
      <c r="E3543" s="2689">
        <v>340569.79921877099</v>
      </c>
      <c r="F3543" s="2690">
        <v>4.8214485628018403E-2</v>
      </c>
      <c r="G3543" s="2691">
        <v>5.0743538730339502E-2</v>
      </c>
    </row>
    <row r="3544" spans="1:7" x14ac:dyDescent="0.3">
      <c r="A3544" s="11" t="s">
        <v>3136</v>
      </c>
      <c r="B3544" s="11"/>
      <c r="C3544" s="2692">
        <v>2</v>
      </c>
      <c r="D3544" s="2692">
        <v>200654.64300221999</v>
      </c>
      <c r="E3544" s="2693">
        <v>207391.688457221</v>
      </c>
      <c r="F3544" s="2694">
        <v>3.0060032076717001E-2</v>
      </c>
      <c r="G3544" s="2695">
        <v>3.0765993550717199E-2</v>
      </c>
    </row>
    <row r="3545" spans="1:7" x14ac:dyDescent="0.3">
      <c r="A3545" s="6" t="s">
        <v>1114</v>
      </c>
      <c r="B3545" s="6"/>
      <c r="C3545" s="2688">
        <v>1</v>
      </c>
      <c r="D3545" s="2688">
        <v>172822.17869049701</v>
      </c>
      <c r="E3545" s="2689">
        <v>200750.21440999999</v>
      </c>
      <c r="F3545" s="2690">
        <v>2.5890456145323201E-2</v>
      </c>
      <c r="G3545" s="2691">
        <v>2.97354436899132E-2</v>
      </c>
    </row>
    <row r="3546" spans="1:7" x14ac:dyDescent="0.3">
      <c r="A3546" s="11" t="s">
        <v>1067</v>
      </c>
      <c r="B3546" s="11"/>
      <c r="C3546" s="2692">
        <v>3</v>
      </c>
      <c r="D3546" s="2692">
        <v>169098.21786095199</v>
      </c>
      <c r="E3546" s="2693">
        <v>137367.969877442</v>
      </c>
      <c r="F3546" s="2694">
        <v>2.53325703156526E-2</v>
      </c>
      <c r="G3546" s="2695">
        <v>2.0306669701000899E-2</v>
      </c>
    </row>
    <row r="3547" spans="1:7" x14ac:dyDescent="0.3">
      <c r="A3547" s="6" t="s">
        <v>1071</v>
      </c>
      <c r="B3547" s="6"/>
      <c r="C3547" s="2688">
        <v>2</v>
      </c>
      <c r="D3547" s="2688">
        <v>127902.65497106301</v>
      </c>
      <c r="E3547" s="2689">
        <v>130959.920039727</v>
      </c>
      <c r="F3547" s="2690">
        <v>1.9161071249594201E-2</v>
      </c>
      <c r="G3547" s="2691">
        <v>1.94262616038774E-2</v>
      </c>
    </row>
    <row r="3548" spans="1:7" x14ac:dyDescent="0.3">
      <c r="A3548" s="11" t="s">
        <v>1122</v>
      </c>
      <c r="B3548" s="11"/>
      <c r="C3548" s="2692">
        <v>2</v>
      </c>
      <c r="D3548" s="2692">
        <v>89055.864581036396</v>
      </c>
      <c r="E3548" s="2693">
        <v>94116.313099150706</v>
      </c>
      <c r="F3548" s="2694">
        <v>1.33414413236184E-2</v>
      </c>
      <c r="G3548" s="2695">
        <v>1.40297475363509E-2</v>
      </c>
    </row>
    <row r="3549" spans="1:7" x14ac:dyDescent="0.3">
      <c r="A3549" s="6" t="s">
        <v>1077</v>
      </c>
      <c r="B3549" s="6"/>
      <c r="C3549" s="2688">
        <v>1</v>
      </c>
      <c r="D3549" s="2688">
        <v>32541.572746443599</v>
      </c>
      <c r="E3549" s="2689">
        <v>34609.824805952601</v>
      </c>
      <c r="F3549" s="2690">
        <v>4.8750465274511098E-3</v>
      </c>
      <c r="G3549" s="2691">
        <v>5.1265396404639599E-3</v>
      </c>
    </row>
    <row r="3550" spans="1:7" x14ac:dyDescent="0.3">
      <c r="A3550" s="11" t="s">
        <v>3101</v>
      </c>
      <c r="B3550" s="11"/>
      <c r="C3550" s="2692">
        <v>1</v>
      </c>
      <c r="D3550" s="2692">
        <v>10566.253661819001</v>
      </c>
      <c r="E3550" s="2693">
        <v>10950.0882240848</v>
      </c>
      <c r="F3550" s="2694">
        <v>1.5829283551714E-3</v>
      </c>
      <c r="G3550" s="2695">
        <v>1.63346763645579E-3</v>
      </c>
    </row>
    <row r="3551" spans="1:7" x14ac:dyDescent="0.3">
      <c r="A3551" s="6" t="s">
        <v>6354</v>
      </c>
      <c r="B3551" s="6" t="s">
        <v>6355</v>
      </c>
      <c r="C3551" s="2688">
        <v>7515</v>
      </c>
      <c r="D3551" s="2688">
        <v>667513070.14617896</v>
      </c>
      <c r="E3551" s="2689">
        <v>23529830.745546099</v>
      </c>
      <c r="F3551" s="2690">
        <v>100</v>
      </c>
      <c r="G3551" s="2691">
        <v>2.29838001744816E-14</v>
      </c>
    </row>
    <row r="3552" spans="1:7" x14ac:dyDescent="0.3">
      <c r="A3552" s="11" t="s">
        <v>6354</v>
      </c>
      <c r="B3552" s="11" t="s">
        <v>6356</v>
      </c>
      <c r="C3552" s="2692">
        <v>7515</v>
      </c>
      <c r="D3552" s="2692">
        <v>667513070.14617896</v>
      </c>
      <c r="E3552" s="2693">
        <v>0</v>
      </c>
      <c r="F3552" s="2694">
        <v>100</v>
      </c>
      <c r="G3552" s="2695">
        <v>0</v>
      </c>
    </row>
    <row r="3553" spans="1:7" x14ac:dyDescent="0.3">
      <c r="A3553" s="3449" t="s">
        <v>543</v>
      </c>
      <c r="B3553" s="3450"/>
      <c r="C3553" s="3450"/>
      <c r="D3553" s="3450"/>
      <c r="E3553" s="3450"/>
      <c r="F3553" s="3450"/>
      <c r="G3553" s="3450"/>
    </row>
    <row r="3554" spans="1:7" x14ac:dyDescent="0.3">
      <c r="A3554" s="11" t="s">
        <v>1023</v>
      </c>
      <c r="B3554" s="11" t="s">
        <v>1107</v>
      </c>
      <c r="C3554" s="2700">
        <v>5282</v>
      </c>
      <c r="D3554" s="2700">
        <v>458610307.12080598</v>
      </c>
      <c r="E3554" s="2701">
        <v>12764237.4831781</v>
      </c>
      <c r="F3554" s="2702">
        <v>77.835429499037602</v>
      </c>
      <c r="G3554" s="2703">
        <v>1.64961079261124</v>
      </c>
    </row>
    <row r="3555" spans="1:7" x14ac:dyDescent="0.3">
      <c r="A3555" s="6" t="s">
        <v>1021</v>
      </c>
      <c r="B3555" s="6" t="s">
        <v>1106</v>
      </c>
      <c r="C3555" s="2696">
        <v>1585</v>
      </c>
      <c r="D3555" s="2696">
        <v>130594776.055971</v>
      </c>
      <c r="E3555" s="2697">
        <v>15389275.450134</v>
      </c>
      <c r="F3555" s="2698">
        <v>22.164570500962402</v>
      </c>
      <c r="G3555" s="2699">
        <v>1.64961079261125</v>
      </c>
    </row>
    <row r="3556" spans="1:7" x14ac:dyDescent="0.3">
      <c r="A3556" s="11" t="s">
        <v>1019</v>
      </c>
      <c r="B3556" s="11" t="s">
        <v>1020</v>
      </c>
      <c r="C3556" s="2700">
        <v>648</v>
      </c>
      <c r="D3556" s="2700">
        <v>78307986.969403505</v>
      </c>
      <c r="E3556" s="2701">
        <v>10078749.5786012</v>
      </c>
      <c r="F3556" s="2702">
        <v>100</v>
      </c>
      <c r="G3556" s="2703">
        <v>0</v>
      </c>
    </row>
    <row r="3557" spans="1:7" x14ac:dyDescent="0.3">
      <c r="A3557" s="6" t="s">
        <v>6354</v>
      </c>
      <c r="B3557" s="6" t="s">
        <v>6355</v>
      </c>
      <c r="C3557" s="2696">
        <v>6867</v>
      </c>
      <c r="D3557" s="2696">
        <v>589205083.17677701</v>
      </c>
      <c r="E3557" s="2697">
        <v>26775725.4705103</v>
      </c>
      <c r="F3557" s="2698">
        <v>88.268696079276097</v>
      </c>
      <c r="G3557" s="2699">
        <v>1.59844890015741</v>
      </c>
    </row>
    <row r="3558" spans="1:7" x14ac:dyDescent="0.3">
      <c r="A3558" s="11" t="s">
        <v>6354</v>
      </c>
      <c r="B3558" s="11" t="s">
        <v>6356</v>
      </c>
      <c r="C3558" s="2700">
        <v>7515</v>
      </c>
      <c r="D3558" s="2700">
        <v>667513070.14618003</v>
      </c>
      <c r="E3558" s="2701">
        <v>0</v>
      </c>
      <c r="F3558" s="2702">
        <v>100</v>
      </c>
      <c r="G3558" s="2703">
        <v>0</v>
      </c>
    </row>
    <row r="3559" spans="1:7" x14ac:dyDescent="0.3">
      <c r="A3559" s="3449" t="s">
        <v>557</v>
      </c>
      <c r="B3559" s="3450"/>
      <c r="C3559" s="3450"/>
      <c r="D3559" s="3450"/>
      <c r="E3559" s="3450"/>
      <c r="F3559" s="3450"/>
      <c r="G3559" s="3450"/>
    </row>
    <row r="3560" spans="1:7" x14ac:dyDescent="0.3">
      <c r="A3560" s="11" t="s">
        <v>1023</v>
      </c>
      <c r="B3560" s="11" t="s">
        <v>1107</v>
      </c>
      <c r="C3560" s="2708">
        <v>7483</v>
      </c>
      <c r="D3560" s="2708">
        <v>661160780.34213305</v>
      </c>
      <c r="E3560" s="2709">
        <v>24368398.2112423</v>
      </c>
      <c r="F3560" s="2710">
        <v>99.048364730498506</v>
      </c>
      <c r="G3560" s="2711">
        <v>0.42267750038693103</v>
      </c>
    </row>
    <row r="3561" spans="1:7" x14ac:dyDescent="0.3">
      <c r="A3561" s="6" t="s">
        <v>1021</v>
      </c>
      <c r="B3561" s="6" t="s">
        <v>1106</v>
      </c>
      <c r="C3561" s="2704">
        <v>32</v>
      </c>
      <c r="D3561" s="2704">
        <v>6352289.8040434401</v>
      </c>
      <c r="E3561" s="2705">
        <v>2766923.4575150199</v>
      </c>
      <c r="F3561" s="2706">
        <v>0.951635269501519</v>
      </c>
      <c r="G3561" s="2707">
        <v>0.42267750038693103</v>
      </c>
    </row>
    <row r="3562" spans="1:7" x14ac:dyDescent="0.3">
      <c r="A3562" s="11" t="s">
        <v>6354</v>
      </c>
      <c r="B3562" s="11" t="s">
        <v>6355</v>
      </c>
      <c r="C3562" s="2708">
        <v>7515</v>
      </c>
      <c r="D3562" s="2708">
        <v>667513070.14617705</v>
      </c>
      <c r="E3562" s="2709">
        <v>23529830.745542601</v>
      </c>
      <c r="F3562" s="2710">
        <v>100</v>
      </c>
      <c r="G3562" s="2711">
        <v>1.78031750616652E-14</v>
      </c>
    </row>
    <row r="3563" spans="1:7" x14ac:dyDescent="0.3">
      <c r="A3563" s="6" t="s">
        <v>6354</v>
      </c>
      <c r="B3563" s="6" t="s">
        <v>6356</v>
      </c>
      <c r="C3563" s="2704">
        <v>7515</v>
      </c>
      <c r="D3563" s="2704">
        <v>667513070.14617705</v>
      </c>
      <c r="E3563" s="2705">
        <v>0</v>
      </c>
      <c r="F3563" s="2706">
        <v>100</v>
      </c>
      <c r="G3563" s="2707">
        <v>0</v>
      </c>
    </row>
    <row r="3564" spans="1:7" x14ac:dyDescent="0.3">
      <c r="A3564" s="3449" t="s">
        <v>808</v>
      </c>
      <c r="B3564" s="3450"/>
      <c r="C3564" s="3450"/>
      <c r="D3564" s="3450"/>
      <c r="E3564" s="3450"/>
      <c r="F3564" s="3450"/>
      <c r="G3564" s="3450"/>
    </row>
    <row r="3565" spans="1:7" x14ac:dyDescent="0.3">
      <c r="A3565" s="11" t="s">
        <v>6158</v>
      </c>
      <c r="B3565" s="11" t="s">
        <v>6159</v>
      </c>
      <c r="C3565" s="2716">
        <v>2828</v>
      </c>
      <c r="D3565" s="2716">
        <v>263868740.82040399</v>
      </c>
      <c r="E3565" s="2717">
        <v>10925524.8569274</v>
      </c>
      <c r="F3565" s="2718">
        <v>39.530123471982101</v>
      </c>
      <c r="G3565" s="2719">
        <v>0.79378292363328695</v>
      </c>
    </row>
    <row r="3566" spans="1:7" x14ac:dyDescent="0.3">
      <c r="A3566" s="6" t="s">
        <v>6166</v>
      </c>
      <c r="B3566" s="6" t="s">
        <v>6167</v>
      </c>
      <c r="C3566" s="2712">
        <v>1104</v>
      </c>
      <c r="D3566" s="2712">
        <v>126717883.463581</v>
      </c>
      <c r="E3566" s="2713">
        <v>4444540.5998827303</v>
      </c>
      <c r="F3566" s="2714">
        <v>18.983580866189001</v>
      </c>
      <c r="G3566" s="2715">
        <v>0.94484089558787498</v>
      </c>
    </row>
    <row r="3567" spans="1:7" x14ac:dyDescent="0.3">
      <c r="A3567" s="11" t="s">
        <v>6164</v>
      </c>
      <c r="B3567" s="11" t="s">
        <v>6165</v>
      </c>
      <c r="C3567" s="2716">
        <v>1263</v>
      </c>
      <c r="D3567" s="2716">
        <v>109233987.21760599</v>
      </c>
      <c r="E3567" s="2717">
        <v>10799496.603351001</v>
      </c>
      <c r="F3567" s="2718">
        <v>16.364321854204899</v>
      </c>
      <c r="G3567" s="2719">
        <v>1.2743808985637499</v>
      </c>
    </row>
    <row r="3568" spans="1:7" x14ac:dyDescent="0.3">
      <c r="A3568" s="6" t="s">
        <v>6160</v>
      </c>
      <c r="B3568" s="6" t="s">
        <v>6161</v>
      </c>
      <c r="C3568" s="2712">
        <v>1578</v>
      </c>
      <c r="D3568" s="2712">
        <v>107767124.56158599</v>
      </c>
      <c r="E3568" s="2713">
        <v>8219144.51713912</v>
      </c>
      <c r="F3568" s="2714">
        <v>16.144571452059498</v>
      </c>
      <c r="G3568" s="2715">
        <v>1.0110446917576199</v>
      </c>
    </row>
    <row r="3569" spans="1:7" x14ac:dyDescent="0.3">
      <c r="A3569" s="11" t="s">
        <v>6162</v>
      </c>
      <c r="B3569" s="11" t="s">
        <v>6163</v>
      </c>
      <c r="C3569" s="2716">
        <v>742</v>
      </c>
      <c r="D3569" s="2716">
        <v>59925334.083004303</v>
      </c>
      <c r="E3569" s="2717">
        <v>4004324.0795991798</v>
      </c>
      <c r="F3569" s="2718">
        <v>8.9774023555645304</v>
      </c>
      <c r="G3569" s="2719">
        <v>0.58017234958725294</v>
      </c>
    </row>
    <row r="3570" spans="1:7" x14ac:dyDescent="0.3">
      <c r="A3570" s="6" t="s">
        <v>6354</v>
      </c>
      <c r="B3570" s="6" t="s">
        <v>6355</v>
      </c>
      <c r="C3570" s="2712">
        <v>7515</v>
      </c>
      <c r="D3570" s="2712">
        <v>667513070.14618099</v>
      </c>
      <c r="E3570" s="2713">
        <v>23529830.7455438</v>
      </c>
      <c r="F3570" s="2714">
        <v>100</v>
      </c>
      <c r="G3570" s="2715">
        <v>9.6422451950283797E-14</v>
      </c>
    </row>
    <row r="3571" spans="1:7" x14ac:dyDescent="0.3">
      <c r="A3571" s="11" t="s">
        <v>6354</v>
      </c>
      <c r="B3571" s="11" t="s">
        <v>6356</v>
      </c>
      <c r="C3571" s="2716">
        <v>7515</v>
      </c>
      <c r="D3571" s="2716">
        <v>667513070.14618099</v>
      </c>
      <c r="E3571" s="2717">
        <v>0</v>
      </c>
      <c r="F3571" s="2718">
        <v>100</v>
      </c>
      <c r="G3571" s="2719">
        <v>0</v>
      </c>
    </row>
    <row r="3572" spans="1:7" x14ac:dyDescent="0.3">
      <c r="A3572" s="3449" t="s">
        <v>168</v>
      </c>
      <c r="B3572" s="3450"/>
      <c r="C3572" s="3450"/>
      <c r="D3572" s="3450"/>
      <c r="E3572" s="3450"/>
      <c r="F3572" s="3450"/>
      <c r="G3572" s="3450"/>
    </row>
    <row r="3573" spans="1:7" x14ac:dyDescent="0.3">
      <c r="A3573" s="11" t="s">
        <v>1044</v>
      </c>
      <c r="B3573" s="11" t="s">
        <v>1045</v>
      </c>
      <c r="C3573" s="2724">
        <v>1809</v>
      </c>
      <c r="D3573" s="2724">
        <v>166770355.790003</v>
      </c>
      <c r="E3573" s="2725">
        <v>2607216.8805208299</v>
      </c>
      <c r="F3573" s="2726">
        <v>100</v>
      </c>
      <c r="G3573" s="2727">
        <v>0</v>
      </c>
    </row>
    <row r="3574" spans="1:7" x14ac:dyDescent="0.3">
      <c r="A3574" s="6" t="s">
        <v>6354</v>
      </c>
      <c r="B3574" s="6" t="s">
        <v>6355</v>
      </c>
      <c r="C3574" s="2720">
        <v>5683</v>
      </c>
      <c r="D3574" s="2720">
        <v>500742714.35617697</v>
      </c>
      <c r="E3574" s="2721">
        <v>21220976.0280637</v>
      </c>
      <c r="F3574" s="2722">
        <v>75.016166237242103</v>
      </c>
      <c r="G3574" s="2723">
        <v>0.55781855836289396</v>
      </c>
    </row>
    <row r="3575" spans="1:7" x14ac:dyDescent="0.3">
      <c r="A3575" s="11" t="s">
        <v>6354</v>
      </c>
      <c r="B3575" s="11" t="s">
        <v>6356</v>
      </c>
      <c r="C3575" s="2724">
        <v>7492</v>
      </c>
      <c r="D3575" s="2724">
        <v>667513070.14618003</v>
      </c>
      <c r="E3575" s="2725">
        <v>0</v>
      </c>
      <c r="F3575" s="2726">
        <v>100</v>
      </c>
      <c r="G3575" s="2727">
        <v>0</v>
      </c>
    </row>
    <row r="3576" spans="1:7" x14ac:dyDescent="0.3">
      <c r="A3576" s="3449" t="s">
        <v>689</v>
      </c>
      <c r="B3576" s="3450"/>
      <c r="C3576" s="3450"/>
      <c r="D3576" s="3450"/>
      <c r="E3576" s="3450"/>
      <c r="F3576" s="3450"/>
      <c r="G3576" s="3450"/>
    </row>
    <row r="3577" spans="1:7" x14ac:dyDescent="0.3">
      <c r="A3577" s="11" t="s">
        <v>1023</v>
      </c>
      <c r="B3577" s="11" t="s">
        <v>1107</v>
      </c>
      <c r="C3577" s="2732">
        <v>6143</v>
      </c>
      <c r="D3577" s="2732">
        <v>640462086.14276195</v>
      </c>
      <c r="E3577" s="2733">
        <v>21976994.289808299</v>
      </c>
      <c r="F3577" s="2734">
        <v>95.947497477841296</v>
      </c>
      <c r="G3577" s="2735">
        <v>0.626909707762482</v>
      </c>
    </row>
    <row r="3578" spans="1:7" x14ac:dyDescent="0.3">
      <c r="A3578" s="6" t="s">
        <v>1021</v>
      </c>
      <c r="B3578" s="6" t="s">
        <v>1106</v>
      </c>
      <c r="C3578" s="2728">
        <v>1372</v>
      </c>
      <c r="D3578" s="2728">
        <v>27050984.0034131</v>
      </c>
      <c r="E3578" s="2729">
        <v>4495875.8546612896</v>
      </c>
      <c r="F3578" s="2730">
        <v>4.0525025221587496</v>
      </c>
      <c r="G3578" s="2731">
        <v>0.626909707762483</v>
      </c>
    </row>
    <row r="3579" spans="1:7" x14ac:dyDescent="0.3">
      <c r="A3579" s="11" t="s">
        <v>6354</v>
      </c>
      <c r="B3579" s="11" t="s">
        <v>6355</v>
      </c>
      <c r="C3579" s="2732">
        <v>7515</v>
      </c>
      <c r="D3579" s="2732">
        <v>667513070.14617503</v>
      </c>
      <c r="E3579" s="2733">
        <v>23529830.745542701</v>
      </c>
      <c r="F3579" s="2734">
        <v>100</v>
      </c>
      <c r="G3579" s="2735">
        <v>1.78031750616652E-14</v>
      </c>
    </row>
    <row r="3580" spans="1:7" x14ac:dyDescent="0.3">
      <c r="A3580" s="6" t="s">
        <v>6354</v>
      </c>
      <c r="B3580" s="6" t="s">
        <v>6356</v>
      </c>
      <c r="C3580" s="2728">
        <v>7515</v>
      </c>
      <c r="D3580" s="2728">
        <v>667513070.14617503</v>
      </c>
      <c r="E3580" s="2729">
        <v>0</v>
      </c>
      <c r="F3580" s="2730">
        <v>100</v>
      </c>
      <c r="G3580" s="2731">
        <v>0</v>
      </c>
    </row>
    <row r="3581" spans="1:7" x14ac:dyDescent="0.3">
      <c r="A3581" s="3449" t="s">
        <v>881</v>
      </c>
      <c r="B3581" s="3450"/>
      <c r="C3581" s="3450"/>
      <c r="D3581" s="3450"/>
      <c r="E3581" s="3450"/>
      <c r="F3581" s="3450"/>
      <c r="G3581" s="3450"/>
    </row>
    <row r="3582" spans="1:7" x14ac:dyDescent="0.3">
      <c r="A3582" s="11" t="s">
        <v>1019</v>
      </c>
      <c r="B3582" s="11" t="s">
        <v>1020</v>
      </c>
      <c r="C3582" s="2740">
        <v>2345</v>
      </c>
      <c r="D3582" s="2740">
        <v>216784198.30548999</v>
      </c>
      <c r="E3582" s="2741">
        <v>14476656.328644</v>
      </c>
      <c r="F3582" s="2742">
        <v>100</v>
      </c>
      <c r="G3582" s="2743">
        <v>0</v>
      </c>
    </row>
    <row r="3583" spans="1:7" x14ac:dyDescent="0.3">
      <c r="A3583" s="6" t="s">
        <v>6354</v>
      </c>
      <c r="B3583" s="6" t="s">
        <v>6355</v>
      </c>
      <c r="C3583" s="2736">
        <v>4650</v>
      </c>
      <c r="D3583" s="2736">
        <v>450728871.84069097</v>
      </c>
      <c r="E3583" s="2737">
        <v>12897412.4723037</v>
      </c>
      <c r="F3583" s="2738">
        <v>67.523602457999004</v>
      </c>
      <c r="G3583" s="2739">
        <v>1.2972705345403599</v>
      </c>
    </row>
    <row r="3584" spans="1:7" x14ac:dyDescent="0.3">
      <c r="A3584" s="11" t="s">
        <v>6354</v>
      </c>
      <c r="B3584" s="11" t="s">
        <v>6356</v>
      </c>
      <c r="C3584" s="2740">
        <v>6995</v>
      </c>
      <c r="D3584" s="2740">
        <v>667513070.14618003</v>
      </c>
      <c r="E3584" s="2741">
        <v>0</v>
      </c>
      <c r="F3584" s="2742">
        <v>100</v>
      </c>
      <c r="G3584" s="2743">
        <v>0</v>
      </c>
    </row>
    <row r="3585" spans="1:7" x14ac:dyDescent="0.3">
      <c r="A3585" s="3449" t="s">
        <v>883</v>
      </c>
      <c r="B3585" s="3450"/>
      <c r="C3585" s="3450"/>
      <c r="D3585" s="3450"/>
      <c r="E3585" s="3450"/>
      <c r="F3585" s="3450"/>
      <c r="G3585" s="3450"/>
    </row>
    <row r="3586" spans="1:7" x14ac:dyDescent="0.3">
      <c r="A3586" s="11" t="s">
        <v>1019</v>
      </c>
      <c r="B3586" s="11" t="s">
        <v>1020</v>
      </c>
      <c r="C3586" s="2748">
        <v>2345</v>
      </c>
      <c r="D3586" s="2748">
        <v>216784198.30548999</v>
      </c>
      <c r="E3586" s="2749">
        <v>14476656.328644</v>
      </c>
      <c r="F3586" s="2750">
        <v>100</v>
      </c>
      <c r="G3586" s="2751">
        <v>0</v>
      </c>
    </row>
    <row r="3587" spans="1:7" x14ac:dyDescent="0.3">
      <c r="A3587" s="6" t="s">
        <v>6354</v>
      </c>
      <c r="B3587" s="6" t="s">
        <v>6355</v>
      </c>
      <c r="C3587" s="2744">
        <v>4649</v>
      </c>
      <c r="D3587" s="2744">
        <v>450728871.84069097</v>
      </c>
      <c r="E3587" s="2745">
        <v>12897412.4723037</v>
      </c>
      <c r="F3587" s="2746">
        <v>67.523602457999004</v>
      </c>
      <c r="G3587" s="2747">
        <v>1.2972705345403599</v>
      </c>
    </row>
    <row r="3588" spans="1:7" x14ac:dyDescent="0.3">
      <c r="A3588" s="11" t="s">
        <v>6354</v>
      </c>
      <c r="B3588" s="11" t="s">
        <v>6356</v>
      </c>
      <c r="C3588" s="2748">
        <v>6994</v>
      </c>
      <c r="D3588" s="2748">
        <v>667513070.14618003</v>
      </c>
      <c r="E3588" s="2749">
        <v>0</v>
      </c>
      <c r="F3588" s="2750">
        <v>100</v>
      </c>
      <c r="G3588" s="2751">
        <v>0</v>
      </c>
    </row>
    <row r="3589" spans="1:7" x14ac:dyDescent="0.3">
      <c r="A3589" s="3449" t="s">
        <v>166</v>
      </c>
      <c r="B3589" s="3450"/>
      <c r="C3589" s="3450"/>
      <c r="D3589" s="3450"/>
      <c r="E3589" s="3450"/>
      <c r="F3589" s="3450"/>
      <c r="G3589" s="3450"/>
    </row>
    <row r="3590" spans="1:7" x14ac:dyDescent="0.3">
      <c r="A3590" s="11" t="s">
        <v>1021</v>
      </c>
      <c r="B3590" s="11" t="s">
        <v>1106</v>
      </c>
      <c r="C3590" s="2756">
        <v>5282</v>
      </c>
      <c r="D3590" s="2756">
        <v>458610307.12080598</v>
      </c>
      <c r="E3590" s="2757">
        <v>12764237.4831781</v>
      </c>
      <c r="F3590" s="2758">
        <v>77.835429499037602</v>
      </c>
      <c r="G3590" s="2759">
        <v>1.64961079261124</v>
      </c>
    </row>
    <row r="3591" spans="1:7" x14ac:dyDescent="0.3">
      <c r="A3591" s="6" t="s">
        <v>1023</v>
      </c>
      <c r="B3591" s="6" t="s">
        <v>1107</v>
      </c>
      <c r="C3591" s="2752">
        <v>1585</v>
      </c>
      <c r="D3591" s="2752">
        <v>130594776.055971</v>
      </c>
      <c r="E3591" s="2753">
        <v>15389275.450134</v>
      </c>
      <c r="F3591" s="2754">
        <v>22.164570500962402</v>
      </c>
      <c r="G3591" s="2755">
        <v>1.64961079261125</v>
      </c>
    </row>
    <row r="3592" spans="1:7" x14ac:dyDescent="0.3">
      <c r="A3592" s="11" t="s">
        <v>1019</v>
      </c>
      <c r="B3592" s="11" t="s">
        <v>1020</v>
      </c>
      <c r="C3592" s="2756">
        <v>648</v>
      </c>
      <c r="D3592" s="2756">
        <v>78307986.969403505</v>
      </c>
      <c r="E3592" s="2757">
        <v>10078749.5786012</v>
      </c>
      <c r="F3592" s="2758">
        <v>100</v>
      </c>
      <c r="G3592" s="2759">
        <v>0</v>
      </c>
    </row>
    <row r="3593" spans="1:7" x14ac:dyDescent="0.3">
      <c r="A3593" s="6" t="s">
        <v>6354</v>
      </c>
      <c r="B3593" s="6" t="s">
        <v>6355</v>
      </c>
      <c r="C3593" s="2752">
        <v>6867</v>
      </c>
      <c r="D3593" s="2752">
        <v>589205083.17677701</v>
      </c>
      <c r="E3593" s="2753">
        <v>26775725.4705103</v>
      </c>
      <c r="F3593" s="2754">
        <v>88.268696079276097</v>
      </c>
      <c r="G3593" s="2755">
        <v>1.59844890015741</v>
      </c>
    </row>
    <row r="3594" spans="1:7" x14ac:dyDescent="0.3">
      <c r="A3594" s="11" t="s">
        <v>6354</v>
      </c>
      <c r="B3594" s="11" t="s">
        <v>6356</v>
      </c>
      <c r="C3594" s="2756">
        <v>7515</v>
      </c>
      <c r="D3594" s="2756">
        <v>667513070.14618003</v>
      </c>
      <c r="E3594" s="2757">
        <v>0</v>
      </c>
      <c r="F3594" s="2758">
        <v>100</v>
      </c>
      <c r="G3594" s="2759">
        <v>0</v>
      </c>
    </row>
    <row r="3595" spans="1:7" x14ac:dyDescent="0.3">
      <c r="A3595" s="3449" t="s">
        <v>941</v>
      </c>
      <c r="B3595" s="3450"/>
      <c r="C3595" s="3450"/>
      <c r="D3595" s="3450"/>
      <c r="E3595" s="3450"/>
      <c r="F3595" s="3450"/>
      <c r="G3595" s="3450"/>
    </row>
    <row r="3596" spans="1:7" x14ac:dyDescent="0.3">
      <c r="A3596" s="11" t="s">
        <v>1021</v>
      </c>
      <c r="B3596" s="11" t="s">
        <v>6230</v>
      </c>
      <c r="C3596" s="2764">
        <v>2570</v>
      </c>
      <c r="D3596" s="2764">
        <v>230332581.11120501</v>
      </c>
      <c r="E3596" s="2765">
        <v>8312010.6568480097</v>
      </c>
      <c r="F3596" s="2766">
        <v>34.506078069866703</v>
      </c>
      <c r="G3596" s="2767">
        <v>0.65598175044961005</v>
      </c>
    </row>
    <row r="3597" spans="1:7" x14ac:dyDescent="0.3">
      <c r="A3597" s="6" t="s">
        <v>1063</v>
      </c>
      <c r="B3597" s="6" t="s">
        <v>1055</v>
      </c>
      <c r="C3597" s="2760">
        <v>1026</v>
      </c>
      <c r="D3597" s="2760">
        <v>114865343.840294</v>
      </c>
      <c r="E3597" s="2761">
        <v>5557602.2245088704</v>
      </c>
      <c r="F3597" s="2762">
        <v>17.207954267493101</v>
      </c>
      <c r="G3597" s="2763">
        <v>0.80959891669625195</v>
      </c>
    </row>
    <row r="3598" spans="1:7" x14ac:dyDescent="0.3">
      <c r="A3598" s="11" t="s">
        <v>1226</v>
      </c>
      <c r="B3598" s="11" t="s">
        <v>6233</v>
      </c>
      <c r="C3598" s="2764">
        <v>1430</v>
      </c>
      <c r="D3598" s="2764">
        <v>100976095.014814</v>
      </c>
      <c r="E3598" s="2765">
        <v>7289399.4617648497</v>
      </c>
      <c r="F3598" s="2766">
        <v>15.1272086691427</v>
      </c>
      <c r="G3598" s="2767">
        <v>0.67028546678068301</v>
      </c>
    </row>
    <row r="3599" spans="1:7" x14ac:dyDescent="0.3">
      <c r="A3599" s="6" t="s">
        <v>1228</v>
      </c>
      <c r="B3599" s="6" t="s">
        <v>6234</v>
      </c>
      <c r="C3599" s="2760">
        <v>664</v>
      </c>
      <c r="D3599" s="2760">
        <v>53336607.302362099</v>
      </c>
      <c r="E3599" s="2761">
        <v>2447711.6210385598</v>
      </c>
      <c r="F3599" s="2762">
        <v>7.9903465097217996</v>
      </c>
      <c r="G3599" s="2763">
        <v>0.35552019658577499</v>
      </c>
    </row>
    <row r="3600" spans="1:7" x14ac:dyDescent="0.3">
      <c r="A3600" s="11" t="s">
        <v>1232</v>
      </c>
      <c r="B3600" s="11" t="s">
        <v>6236</v>
      </c>
      <c r="C3600" s="2764">
        <v>483</v>
      </c>
      <c r="D3600" s="2764">
        <v>51366853.6204108</v>
      </c>
      <c r="E3600" s="2765">
        <v>4085213.4727962599</v>
      </c>
      <c r="F3600" s="2766">
        <v>7.6952581032101497</v>
      </c>
      <c r="G3600" s="2767">
        <v>0.57243852705641596</v>
      </c>
    </row>
    <row r="3601" spans="1:7" x14ac:dyDescent="0.3">
      <c r="A3601" s="6" t="s">
        <v>1234</v>
      </c>
      <c r="B3601" s="6" t="s">
        <v>6237</v>
      </c>
      <c r="C3601" s="2760">
        <v>671</v>
      </c>
      <c r="D3601" s="2760">
        <v>49729455.625474997</v>
      </c>
      <c r="E3601" s="2761">
        <v>5632187.0133207496</v>
      </c>
      <c r="F3601" s="2762">
        <v>7.4499598359301897</v>
      </c>
      <c r="G3601" s="2763">
        <v>0.69461471423244803</v>
      </c>
    </row>
    <row r="3602" spans="1:7" x14ac:dyDescent="0.3">
      <c r="A3602" s="11" t="s">
        <v>1222</v>
      </c>
      <c r="B3602" s="11" t="s">
        <v>6231</v>
      </c>
      <c r="C3602" s="2764">
        <v>390</v>
      </c>
      <c r="D3602" s="2764">
        <v>44917852.3639213</v>
      </c>
      <c r="E3602" s="2765">
        <v>3910879.6404607901</v>
      </c>
      <c r="F3602" s="2766">
        <v>6.7291345102927496</v>
      </c>
      <c r="G3602" s="2767">
        <v>0.53139245605544205</v>
      </c>
    </row>
    <row r="3603" spans="1:7" x14ac:dyDescent="0.3">
      <c r="A3603" s="6" t="s">
        <v>1052</v>
      </c>
      <c r="B3603" s="6" t="s">
        <v>1083</v>
      </c>
      <c r="C3603" s="2760">
        <v>162</v>
      </c>
      <c r="D3603" s="2760">
        <v>13749068.4702504</v>
      </c>
      <c r="E3603" s="2761">
        <v>1753617.62752253</v>
      </c>
      <c r="F3603" s="2762">
        <v>2.0597452072720399</v>
      </c>
      <c r="G3603" s="2763">
        <v>0.23400384687502401</v>
      </c>
    </row>
    <row r="3604" spans="1:7" x14ac:dyDescent="0.3">
      <c r="A3604" s="11" t="s">
        <v>1224</v>
      </c>
      <c r="B3604" s="11" t="s">
        <v>6232</v>
      </c>
      <c r="C3604" s="2764">
        <v>119</v>
      </c>
      <c r="D3604" s="2764">
        <v>8239212.7974485699</v>
      </c>
      <c r="E3604" s="2765">
        <v>2261817.9994864301</v>
      </c>
      <c r="F3604" s="2766">
        <v>1.2343148270706099</v>
      </c>
      <c r="G3604" s="2767">
        <v>0.36115538437431299</v>
      </c>
    </row>
    <row r="3605" spans="1:7" x14ac:dyDescent="0.3">
      <c r="A3605" s="6" t="s">
        <v>6354</v>
      </c>
      <c r="B3605" s="6" t="s">
        <v>6355</v>
      </c>
      <c r="C3605" s="2760">
        <v>7515</v>
      </c>
      <c r="D3605" s="2760">
        <v>667513070.14618099</v>
      </c>
      <c r="E3605" s="2761">
        <v>23529830.7455444</v>
      </c>
      <c r="F3605" s="2762">
        <v>100</v>
      </c>
      <c r="G3605" s="2763">
        <v>1.78031750616652E-14</v>
      </c>
    </row>
    <row r="3606" spans="1:7" x14ac:dyDescent="0.3">
      <c r="A3606" s="11" t="s">
        <v>6354</v>
      </c>
      <c r="B3606" s="11" t="s">
        <v>6356</v>
      </c>
      <c r="C3606" s="2764">
        <v>7515</v>
      </c>
      <c r="D3606" s="2764">
        <v>667513070.14618099</v>
      </c>
      <c r="E3606" s="2765">
        <v>0</v>
      </c>
      <c r="F3606" s="2766">
        <v>100</v>
      </c>
      <c r="G3606" s="2767">
        <v>0</v>
      </c>
    </row>
    <row r="3607" spans="1:7" x14ac:dyDescent="0.3">
      <c r="A3607" s="3449" t="s">
        <v>943</v>
      </c>
      <c r="B3607" s="3450"/>
      <c r="C3607" s="3450"/>
      <c r="D3607" s="3450"/>
      <c r="E3607" s="3450"/>
      <c r="F3607" s="3450"/>
      <c r="G3607" s="3450"/>
    </row>
    <row r="3608" spans="1:7" x14ac:dyDescent="0.3">
      <c r="A3608" s="11" t="s">
        <v>1021</v>
      </c>
      <c r="B3608" s="11" t="s">
        <v>6238</v>
      </c>
      <c r="C3608" s="2772">
        <v>1441</v>
      </c>
      <c r="D3608" s="2772">
        <v>166949714.39356601</v>
      </c>
      <c r="E3608" s="2773">
        <v>3118304.6464075702</v>
      </c>
      <c r="F3608" s="2774">
        <v>25.010703439410701</v>
      </c>
      <c r="G3608" s="2775">
        <v>1.0002109892198801</v>
      </c>
    </row>
    <row r="3609" spans="1:7" x14ac:dyDescent="0.3">
      <c r="A3609" s="6" t="s">
        <v>1027</v>
      </c>
      <c r="B3609" s="6" t="s">
        <v>6241</v>
      </c>
      <c r="C3609" s="2768">
        <v>1471</v>
      </c>
      <c r="D3609" s="2768">
        <v>137082650.463925</v>
      </c>
      <c r="E3609" s="2769">
        <v>11936188.115165301</v>
      </c>
      <c r="F3609" s="2770">
        <v>20.536324544762198</v>
      </c>
      <c r="G3609" s="2771">
        <v>1.4348336822012799</v>
      </c>
    </row>
    <row r="3610" spans="1:7" x14ac:dyDescent="0.3">
      <c r="A3610" s="11" t="s">
        <v>1063</v>
      </c>
      <c r="B3610" s="11" t="s">
        <v>6245</v>
      </c>
      <c r="C3610" s="2772">
        <v>1421</v>
      </c>
      <c r="D3610" s="2772">
        <v>105660336.938273</v>
      </c>
      <c r="E3610" s="2773">
        <v>9025648.0623468794</v>
      </c>
      <c r="F3610" s="2774">
        <v>15.828954018104</v>
      </c>
      <c r="G3610" s="2775">
        <v>1.1566864759475</v>
      </c>
    </row>
    <row r="3611" spans="1:7" x14ac:dyDescent="0.3">
      <c r="A3611" s="6" t="s">
        <v>1025</v>
      </c>
      <c r="B3611" s="6" t="s">
        <v>6240</v>
      </c>
      <c r="C3611" s="2768">
        <v>1365</v>
      </c>
      <c r="D3611" s="2768">
        <v>90596765.111398399</v>
      </c>
      <c r="E3611" s="2769">
        <v>7418741.1578288302</v>
      </c>
      <c r="F3611" s="2770">
        <v>13.572283324962999</v>
      </c>
      <c r="G3611" s="2771">
        <v>0.85794693514136999</v>
      </c>
    </row>
    <row r="3612" spans="1:7" x14ac:dyDescent="0.3">
      <c r="A3612" s="11" t="s">
        <v>1029</v>
      </c>
      <c r="B3612" s="11" t="s">
        <v>6242</v>
      </c>
      <c r="C3612" s="2772">
        <v>698</v>
      </c>
      <c r="D3612" s="2772">
        <v>80650566.982570902</v>
      </c>
      <c r="E3612" s="2773">
        <v>6746971.1913203802</v>
      </c>
      <c r="F3612" s="2774">
        <v>12.082245365608999</v>
      </c>
      <c r="G3612" s="2775">
        <v>0.90864962411730499</v>
      </c>
    </row>
    <row r="3613" spans="1:7" x14ac:dyDescent="0.3">
      <c r="A3613" s="6" t="s">
        <v>1065</v>
      </c>
      <c r="B3613" s="6" t="s">
        <v>3298</v>
      </c>
      <c r="C3613" s="2768">
        <v>373</v>
      </c>
      <c r="D3613" s="2768">
        <v>30989329.268298998</v>
      </c>
      <c r="E3613" s="2769">
        <v>4617789.8737334497</v>
      </c>
      <c r="F3613" s="2770">
        <v>4.6425052413599301</v>
      </c>
      <c r="G3613" s="2771">
        <v>0.60956572951786103</v>
      </c>
    </row>
    <row r="3614" spans="1:7" x14ac:dyDescent="0.3">
      <c r="A3614" s="11" t="s">
        <v>1042</v>
      </c>
      <c r="B3614" s="11" t="s">
        <v>6244</v>
      </c>
      <c r="C3614" s="2772">
        <v>427</v>
      </c>
      <c r="D3614" s="2772">
        <v>27533692.065269999</v>
      </c>
      <c r="E3614" s="2773">
        <v>2412589.1685102601</v>
      </c>
      <c r="F3614" s="2774">
        <v>4.1248169206994501</v>
      </c>
      <c r="G3614" s="2775">
        <v>0.41206162671295998</v>
      </c>
    </row>
    <row r="3615" spans="1:7" x14ac:dyDescent="0.3">
      <c r="A3615" s="6" t="s">
        <v>1023</v>
      </c>
      <c r="B3615" s="6" t="s">
        <v>6239</v>
      </c>
      <c r="C3615" s="2768">
        <v>123</v>
      </c>
      <c r="D3615" s="2768">
        <v>14313576.6650734</v>
      </c>
      <c r="E3615" s="2769">
        <v>2783771.3466028501</v>
      </c>
      <c r="F3615" s="2770">
        <v>2.1443140674292498</v>
      </c>
      <c r="G3615" s="2771">
        <v>0.37942135977221803</v>
      </c>
    </row>
    <row r="3616" spans="1:7" x14ac:dyDescent="0.3">
      <c r="A3616" s="11" t="s">
        <v>1031</v>
      </c>
      <c r="B3616" s="11" t="s">
        <v>6243</v>
      </c>
      <c r="C3616" s="2772">
        <v>192</v>
      </c>
      <c r="D3616" s="2772">
        <v>12967473.056117499</v>
      </c>
      <c r="E3616" s="2773">
        <v>3098771.3419759301</v>
      </c>
      <c r="F3616" s="2774">
        <v>1.9426545540565501</v>
      </c>
      <c r="G3616" s="2775">
        <v>0.499063314065949</v>
      </c>
    </row>
    <row r="3617" spans="1:7" x14ac:dyDescent="0.3">
      <c r="A3617" s="6" t="s">
        <v>3299</v>
      </c>
      <c r="B3617" s="6" t="s">
        <v>6246</v>
      </c>
      <c r="C3617" s="2768">
        <v>4</v>
      </c>
      <c r="D3617" s="2768">
        <v>768965.20168574795</v>
      </c>
      <c r="E3617" s="2769">
        <v>769585.71723719197</v>
      </c>
      <c r="F3617" s="2770">
        <v>0.11519852360603999</v>
      </c>
      <c r="G3617" s="2771">
        <v>0.114734639771847</v>
      </c>
    </row>
    <row r="3618" spans="1:7" x14ac:dyDescent="0.3">
      <c r="A3618" s="11" t="s">
        <v>6354</v>
      </c>
      <c r="B3618" s="11" t="s">
        <v>6355</v>
      </c>
      <c r="C3618" s="2772">
        <v>7515</v>
      </c>
      <c r="D3618" s="2772">
        <v>667513070.14618003</v>
      </c>
      <c r="E3618" s="2773">
        <v>23529830.745544199</v>
      </c>
      <c r="F3618" s="2774">
        <v>100</v>
      </c>
      <c r="G3618" s="2775">
        <v>1.02786679142825E-14</v>
      </c>
    </row>
    <row r="3619" spans="1:7" x14ac:dyDescent="0.3">
      <c r="A3619" s="6" t="s">
        <v>6354</v>
      </c>
      <c r="B3619" s="6" t="s">
        <v>6356</v>
      </c>
      <c r="C3619" s="2768">
        <v>7515</v>
      </c>
      <c r="D3619" s="2768">
        <v>667513070.14618003</v>
      </c>
      <c r="E3619" s="2769">
        <v>0</v>
      </c>
      <c r="F3619" s="2770">
        <v>100</v>
      </c>
      <c r="G3619" s="2771">
        <v>0</v>
      </c>
    </row>
    <row r="3620" spans="1:7" x14ac:dyDescent="0.3">
      <c r="A3620" s="3449" t="s">
        <v>699</v>
      </c>
      <c r="B3620" s="3450"/>
      <c r="C3620" s="3450"/>
      <c r="D3620" s="3450"/>
      <c r="E3620" s="3450"/>
      <c r="F3620" s="3450"/>
      <c r="G3620" s="3450"/>
    </row>
    <row r="3621" spans="1:7" x14ac:dyDescent="0.3">
      <c r="A3621" s="11" t="s">
        <v>1021</v>
      </c>
      <c r="B3621" s="11" t="s">
        <v>890</v>
      </c>
      <c r="C3621" s="2780">
        <v>31</v>
      </c>
      <c r="D3621" s="2780">
        <v>5919884.1637024302</v>
      </c>
      <c r="E3621" s="2781">
        <v>2339229.2750195898</v>
      </c>
      <c r="F3621" s="2782">
        <v>100</v>
      </c>
      <c r="G3621" s="2783">
        <v>0</v>
      </c>
    </row>
    <row r="3622" spans="1:7" x14ac:dyDescent="0.3">
      <c r="A3622" s="6" t="s">
        <v>1019</v>
      </c>
      <c r="B3622" s="6" t="s">
        <v>1020</v>
      </c>
      <c r="C3622" s="2776">
        <v>7484</v>
      </c>
      <c r="D3622" s="2776">
        <v>661593185.98247397</v>
      </c>
      <c r="E3622" s="2777">
        <v>23864110.729813199</v>
      </c>
      <c r="F3622" s="2778">
        <v>100</v>
      </c>
      <c r="G3622" s="2779">
        <v>0</v>
      </c>
    </row>
    <row r="3623" spans="1:7" x14ac:dyDescent="0.3">
      <c r="A3623" s="11" t="s">
        <v>6354</v>
      </c>
      <c r="B3623" s="11" t="s">
        <v>6355</v>
      </c>
      <c r="C3623" s="2780">
        <v>31</v>
      </c>
      <c r="D3623" s="2780">
        <v>5919884.1637024302</v>
      </c>
      <c r="E3623" s="2781">
        <v>2339229.2750195898</v>
      </c>
      <c r="F3623" s="2782">
        <v>0.88685666670257801</v>
      </c>
      <c r="G3623" s="2783">
        <v>0.35561802008207999</v>
      </c>
    </row>
    <row r="3624" spans="1:7" x14ac:dyDescent="0.3">
      <c r="A3624" s="6" t="s">
        <v>6354</v>
      </c>
      <c r="B3624" s="6" t="s">
        <v>6356</v>
      </c>
      <c r="C3624" s="2776">
        <v>7515</v>
      </c>
      <c r="D3624" s="2776">
        <v>667513070.14617705</v>
      </c>
      <c r="E3624" s="2777">
        <v>0</v>
      </c>
      <c r="F3624" s="2778">
        <v>100</v>
      </c>
      <c r="G3624" s="2779">
        <v>0</v>
      </c>
    </row>
    <row r="3625" spans="1:7" x14ac:dyDescent="0.3">
      <c r="A3625" s="3449" t="s">
        <v>722</v>
      </c>
      <c r="B3625" s="3450"/>
      <c r="C3625" s="3450"/>
      <c r="D3625" s="3450"/>
      <c r="E3625" s="3450"/>
      <c r="F3625" s="3450"/>
      <c r="G3625" s="3450"/>
    </row>
    <row r="3626" spans="1:7" x14ac:dyDescent="0.3">
      <c r="A3626" s="11" t="s">
        <v>1019</v>
      </c>
      <c r="B3626" s="11" t="s">
        <v>1020</v>
      </c>
      <c r="C3626" s="2788">
        <v>7515</v>
      </c>
      <c r="D3626" s="2788">
        <v>667513070.14617801</v>
      </c>
      <c r="E3626" s="2789">
        <v>23529830.745542798</v>
      </c>
      <c r="F3626" s="2790">
        <v>100</v>
      </c>
      <c r="G3626" s="2791">
        <v>0</v>
      </c>
    </row>
    <row r="3627" spans="1:7" x14ac:dyDescent="0.3">
      <c r="A3627" s="6" t="s">
        <v>6354</v>
      </c>
      <c r="B3627" s="6" t="s">
        <v>6355</v>
      </c>
      <c r="C3627" s="2784">
        <v>0</v>
      </c>
      <c r="D3627" s="2784">
        <v>0</v>
      </c>
      <c r="E3627" s="2785">
        <v>0</v>
      </c>
      <c r="F3627" s="2786">
        <v>0</v>
      </c>
      <c r="G3627" s="2787">
        <v>0</v>
      </c>
    </row>
    <row r="3628" spans="1:7" x14ac:dyDescent="0.3">
      <c r="A3628" s="11" t="s">
        <v>6354</v>
      </c>
      <c r="B3628" s="11" t="s">
        <v>6356</v>
      </c>
      <c r="C3628" s="2788">
        <v>7515</v>
      </c>
      <c r="D3628" s="2788">
        <v>667513070.14617801</v>
      </c>
      <c r="E3628" s="2789">
        <v>0</v>
      </c>
      <c r="F3628" s="2790">
        <v>100</v>
      </c>
      <c r="G3628" s="2791">
        <v>0</v>
      </c>
    </row>
    <row r="3629" spans="1:7" x14ac:dyDescent="0.3">
      <c r="A3629" s="3449" t="s">
        <v>726</v>
      </c>
      <c r="B3629" s="3450"/>
      <c r="C3629" s="3450"/>
      <c r="D3629" s="3450"/>
      <c r="E3629" s="3450"/>
      <c r="F3629" s="3450"/>
      <c r="G3629" s="3450"/>
    </row>
    <row r="3630" spans="1:7" x14ac:dyDescent="0.3">
      <c r="A3630" s="11" t="s">
        <v>1025</v>
      </c>
      <c r="B3630" s="11" t="s">
        <v>6116</v>
      </c>
      <c r="C3630" s="2796">
        <v>1</v>
      </c>
      <c r="D3630" s="2796">
        <v>110507.009754364</v>
      </c>
      <c r="E3630" s="2797">
        <v>113893.61955865999</v>
      </c>
      <c r="F3630" s="2798">
        <v>100</v>
      </c>
      <c r="G3630" s="2799" t="e">
        <v>#NUM!</v>
      </c>
    </row>
    <row r="3631" spans="1:7" x14ac:dyDescent="0.3">
      <c r="A3631" s="6" t="s">
        <v>1019</v>
      </c>
      <c r="B3631" s="6" t="s">
        <v>1020</v>
      </c>
      <c r="C3631" s="2792">
        <v>7514</v>
      </c>
      <c r="D3631" s="2792">
        <v>667402563.13642395</v>
      </c>
      <c r="E3631" s="2793">
        <v>23612987.5194644</v>
      </c>
      <c r="F3631" s="2794">
        <v>100</v>
      </c>
      <c r="G3631" s="2795">
        <v>0</v>
      </c>
    </row>
    <row r="3632" spans="1:7" x14ac:dyDescent="0.3">
      <c r="A3632" s="11" t="s">
        <v>6354</v>
      </c>
      <c r="B3632" s="11" t="s">
        <v>6355</v>
      </c>
      <c r="C3632" s="2796">
        <v>1</v>
      </c>
      <c r="D3632" s="2796">
        <v>110507.009754364</v>
      </c>
      <c r="E3632" s="2797">
        <v>113893.61955865999</v>
      </c>
      <c r="F3632" s="2798">
        <v>1.6555033106717201E-2</v>
      </c>
      <c r="G3632" s="2799">
        <v>1.7206566410959401E-2</v>
      </c>
    </row>
    <row r="3633" spans="1:7" x14ac:dyDescent="0.3">
      <c r="A3633" s="6" t="s">
        <v>6354</v>
      </c>
      <c r="B3633" s="6" t="s">
        <v>6356</v>
      </c>
      <c r="C3633" s="2792">
        <v>7515</v>
      </c>
      <c r="D3633" s="2792">
        <v>667513070.14617801</v>
      </c>
      <c r="E3633" s="2793">
        <v>0</v>
      </c>
      <c r="F3633" s="2794">
        <v>100</v>
      </c>
      <c r="G3633" s="2795">
        <v>0</v>
      </c>
    </row>
    <row r="3634" spans="1:7" x14ac:dyDescent="0.3">
      <c r="A3634" s="3449" t="s">
        <v>728</v>
      </c>
      <c r="B3634" s="3450"/>
      <c r="C3634" s="3450"/>
      <c r="D3634" s="3450"/>
      <c r="E3634" s="3450"/>
      <c r="F3634" s="3450"/>
      <c r="G3634" s="3450"/>
    </row>
    <row r="3635" spans="1:7" x14ac:dyDescent="0.3">
      <c r="A3635" s="11" t="s">
        <v>1019</v>
      </c>
      <c r="B3635" s="11" t="s">
        <v>1020</v>
      </c>
      <c r="C3635" s="2804">
        <v>7515</v>
      </c>
      <c r="D3635" s="2804">
        <v>667513070.14617801</v>
      </c>
      <c r="E3635" s="2805">
        <v>23529830.745542798</v>
      </c>
      <c r="F3635" s="2806">
        <v>100</v>
      </c>
      <c r="G3635" s="2807">
        <v>0</v>
      </c>
    </row>
    <row r="3636" spans="1:7" x14ac:dyDescent="0.3">
      <c r="A3636" s="6" t="s">
        <v>6354</v>
      </c>
      <c r="B3636" s="6" t="s">
        <v>6355</v>
      </c>
      <c r="C3636" s="2800">
        <v>0</v>
      </c>
      <c r="D3636" s="2800">
        <v>0</v>
      </c>
      <c r="E3636" s="2801">
        <v>0</v>
      </c>
      <c r="F3636" s="2802">
        <v>0</v>
      </c>
      <c r="G3636" s="2803">
        <v>0</v>
      </c>
    </row>
    <row r="3637" spans="1:7" x14ac:dyDescent="0.3">
      <c r="A3637" s="11" t="s">
        <v>6354</v>
      </c>
      <c r="B3637" s="11" t="s">
        <v>6356</v>
      </c>
      <c r="C3637" s="2804">
        <v>7515</v>
      </c>
      <c r="D3637" s="2804">
        <v>667513070.14617801</v>
      </c>
      <c r="E3637" s="2805">
        <v>0</v>
      </c>
      <c r="F3637" s="2806">
        <v>100</v>
      </c>
      <c r="G3637" s="2807">
        <v>0</v>
      </c>
    </row>
    <row r="3638" spans="1:7" x14ac:dyDescent="0.3">
      <c r="A3638" s="3449" t="s">
        <v>730</v>
      </c>
      <c r="B3638" s="3450"/>
      <c r="C3638" s="3450"/>
      <c r="D3638" s="3450"/>
      <c r="E3638" s="3450"/>
      <c r="F3638" s="3450"/>
      <c r="G3638" s="3450"/>
    </row>
    <row r="3639" spans="1:7" x14ac:dyDescent="0.3">
      <c r="A3639" s="11" t="s">
        <v>1019</v>
      </c>
      <c r="B3639" s="11" t="s">
        <v>1020</v>
      </c>
      <c r="C3639" s="2812">
        <v>7515</v>
      </c>
      <c r="D3639" s="2812">
        <v>667513070.14617801</v>
      </c>
      <c r="E3639" s="2813">
        <v>23529830.745542798</v>
      </c>
      <c r="F3639" s="2814">
        <v>100</v>
      </c>
      <c r="G3639" s="2815">
        <v>0</v>
      </c>
    </row>
    <row r="3640" spans="1:7" x14ac:dyDescent="0.3">
      <c r="A3640" s="6" t="s">
        <v>6354</v>
      </c>
      <c r="B3640" s="6" t="s">
        <v>6355</v>
      </c>
      <c r="C3640" s="2808">
        <v>0</v>
      </c>
      <c r="D3640" s="2808">
        <v>0</v>
      </c>
      <c r="E3640" s="2809">
        <v>0</v>
      </c>
      <c r="F3640" s="2810">
        <v>0</v>
      </c>
      <c r="G3640" s="2811">
        <v>0</v>
      </c>
    </row>
    <row r="3641" spans="1:7" x14ac:dyDescent="0.3">
      <c r="A3641" s="11" t="s">
        <v>6354</v>
      </c>
      <c r="B3641" s="11" t="s">
        <v>6356</v>
      </c>
      <c r="C3641" s="2812">
        <v>7515</v>
      </c>
      <c r="D3641" s="2812">
        <v>667513070.14617801</v>
      </c>
      <c r="E3641" s="2813">
        <v>0</v>
      </c>
      <c r="F3641" s="2814">
        <v>100</v>
      </c>
      <c r="G3641" s="2815">
        <v>0</v>
      </c>
    </row>
    <row r="3642" spans="1:7" x14ac:dyDescent="0.3">
      <c r="A3642" s="3449" t="s">
        <v>732</v>
      </c>
      <c r="B3642" s="3450"/>
      <c r="C3642" s="3450"/>
      <c r="D3642" s="3450"/>
      <c r="E3642" s="3450"/>
      <c r="F3642" s="3450"/>
      <c r="G3642" s="3450"/>
    </row>
    <row r="3643" spans="1:7" x14ac:dyDescent="0.3">
      <c r="A3643" s="11" t="s">
        <v>1019</v>
      </c>
      <c r="B3643" s="11" t="s">
        <v>1020</v>
      </c>
      <c r="C3643" s="2820">
        <v>7515</v>
      </c>
      <c r="D3643" s="2820">
        <v>667513070.14617801</v>
      </c>
      <c r="E3643" s="2821">
        <v>23529830.745542798</v>
      </c>
      <c r="F3643" s="2822">
        <v>100</v>
      </c>
      <c r="G3643" s="2823">
        <v>0</v>
      </c>
    </row>
    <row r="3644" spans="1:7" x14ac:dyDescent="0.3">
      <c r="A3644" s="6" t="s">
        <v>6354</v>
      </c>
      <c r="B3644" s="6" t="s">
        <v>6355</v>
      </c>
      <c r="C3644" s="2816">
        <v>0</v>
      </c>
      <c r="D3644" s="2816">
        <v>0</v>
      </c>
      <c r="E3644" s="2817">
        <v>0</v>
      </c>
      <c r="F3644" s="2818">
        <v>0</v>
      </c>
      <c r="G3644" s="2819">
        <v>0</v>
      </c>
    </row>
    <row r="3645" spans="1:7" x14ac:dyDescent="0.3">
      <c r="A3645" s="11" t="s">
        <v>6354</v>
      </c>
      <c r="B3645" s="11" t="s">
        <v>6356</v>
      </c>
      <c r="C3645" s="2820">
        <v>7515</v>
      </c>
      <c r="D3645" s="2820">
        <v>667513070.14617801</v>
      </c>
      <c r="E3645" s="2821">
        <v>0</v>
      </c>
      <c r="F3645" s="2822">
        <v>100</v>
      </c>
      <c r="G3645" s="2823">
        <v>0</v>
      </c>
    </row>
    <row r="3646" spans="1:7" x14ac:dyDescent="0.3">
      <c r="A3646" s="3449" t="s">
        <v>734</v>
      </c>
      <c r="B3646" s="3450"/>
      <c r="C3646" s="3450"/>
      <c r="D3646" s="3450"/>
      <c r="E3646" s="3450"/>
      <c r="F3646" s="3450"/>
      <c r="G3646" s="3450"/>
    </row>
    <row r="3647" spans="1:7" x14ac:dyDescent="0.3">
      <c r="A3647" s="11" t="s">
        <v>1019</v>
      </c>
      <c r="B3647" s="11" t="s">
        <v>1020</v>
      </c>
      <c r="C3647" s="2828">
        <v>7515</v>
      </c>
      <c r="D3647" s="2828">
        <v>667513070.14617801</v>
      </c>
      <c r="E3647" s="2829">
        <v>23529830.745542798</v>
      </c>
      <c r="F3647" s="2830">
        <v>100</v>
      </c>
      <c r="G3647" s="2831">
        <v>0</v>
      </c>
    </row>
    <row r="3648" spans="1:7" x14ac:dyDescent="0.3">
      <c r="A3648" s="6" t="s">
        <v>6354</v>
      </c>
      <c r="B3648" s="6" t="s">
        <v>6355</v>
      </c>
      <c r="C3648" s="2824">
        <v>0</v>
      </c>
      <c r="D3648" s="2824">
        <v>0</v>
      </c>
      <c r="E3648" s="2825">
        <v>0</v>
      </c>
      <c r="F3648" s="2826">
        <v>0</v>
      </c>
      <c r="G3648" s="2827">
        <v>0</v>
      </c>
    </row>
    <row r="3649" spans="1:7" x14ac:dyDescent="0.3">
      <c r="A3649" s="11" t="s">
        <v>6354</v>
      </c>
      <c r="B3649" s="11" t="s">
        <v>6356</v>
      </c>
      <c r="C3649" s="2828">
        <v>7515</v>
      </c>
      <c r="D3649" s="2828">
        <v>667513070.14617801</v>
      </c>
      <c r="E3649" s="2829">
        <v>0</v>
      </c>
      <c r="F3649" s="2830">
        <v>100</v>
      </c>
      <c r="G3649" s="2831">
        <v>0</v>
      </c>
    </row>
    <row r="3650" spans="1:7" x14ac:dyDescent="0.3">
      <c r="A3650" s="3449" t="s">
        <v>736</v>
      </c>
      <c r="B3650" s="3450"/>
      <c r="C3650" s="3450"/>
      <c r="D3650" s="3450"/>
      <c r="E3650" s="3450"/>
      <c r="F3650" s="3450"/>
      <c r="G3650" s="3450"/>
    </row>
    <row r="3651" spans="1:7" x14ac:dyDescent="0.3">
      <c r="A3651" s="11" t="s">
        <v>1019</v>
      </c>
      <c r="B3651" s="11" t="s">
        <v>1020</v>
      </c>
      <c r="C3651" s="2836">
        <v>7515</v>
      </c>
      <c r="D3651" s="2836">
        <v>667513070.14617801</v>
      </c>
      <c r="E3651" s="2837">
        <v>23529830.745542798</v>
      </c>
      <c r="F3651" s="2838">
        <v>100</v>
      </c>
      <c r="G3651" s="2839">
        <v>0</v>
      </c>
    </row>
    <row r="3652" spans="1:7" x14ac:dyDescent="0.3">
      <c r="A3652" s="6" t="s">
        <v>6354</v>
      </c>
      <c r="B3652" s="6" t="s">
        <v>6355</v>
      </c>
      <c r="C3652" s="2832">
        <v>0</v>
      </c>
      <c r="D3652" s="2832">
        <v>0</v>
      </c>
      <c r="E3652" s="2833">
        <v>0</v>
      </c>
      <c r="F3652" s="2834">
        <v>0</v>
      </c>
      <c r="G3652" s="2835">
        <v>0</v>
      </c>
    </row>
    <row r="3653" spans="1:7" x14ac:dyDescent="0.3">
      <c r="A3653" s="11" t="s">
        <v>6354</v>
      </c>
      <c r="B3653" s="11" t="s">
        <v>6356</v>
      </c>
      <c r="C3653" s="2836">
        <v>7515</v>
      </c>
      <c r="D3653" s="2836">
        <v>667513070.14617801</v>
      </c>
      <c r="E3653" s="2837">
        <v>0</v>
      </c>
      <c r="F3653" s="2838">
        <v>100</v>
      </c>
      <c r="G3653" s="2839">
        <v>0</v>
      </c>
    </row>
    <row r="3654" spans="1:7" x14ac:dyDescent="0.3">
      <c r="A3654" s="3449" t="s">
        <v>738</v>
      </c>
      <c r="B3654" s="3450"/>
      <c r="C3654" s="3450"/>
      <c r="D3654" s="3450"/>
      <c r="E3654" s="3450"/>
      <c r="F3654" s="3450"/>
      <c r="G3654" s="3450"/>
    </row>
    <row r="3655" spans="1:7" x14ac:dyDescent="0.3">
      <c r="A3655" s="11" t="s">
        <v>1019</v>
      </c>
      <c r="B3655" s="11" t="s">
        <v>1020</v>
      </c>
      <c r="C3655" s="2844">
        <v>7515</v>
      </c>
      <c r="D3655" s="2844">
        <v>667513070.14617801</v>
      </c>
      <c r="E3655" s="2845">
        <v>23529830.745542798</v>
      </c>
      <c r="F3655" s="2846">
        <v>100</v>
      </c>
      <c r="G3655" s="2847">
        <v>0</v>
      </c>
    </row>
    <row r="3656" spans="1:7" x14ac:dyDescent="0.3">
      <c r="A3656" s="6" t="s">
        <v>6354</v>
      </c>
      <c r="B3656" s="6" t="s">
        <v>6355</v>
      </c>
      <c r="C3656" s="2840">
        <v>0</v>
      </c>
      <c r="D3656" s="2840">
        <v>0</v>
      </c>
      <c r="E3656" s="2841">
        <v>0</v>
      </c>
      <c r="F3656" s="2842">
        <v>0</v>
      </c>
      <c r="G3656" s="2843">
        <v>0</v>
      </c>
    </row>
    <row r="3657" spans="1:7" x14ac:dyDescent="0.3">
      <c r="A3657" s="11" t="s">
        <v>6354</v>
      </c>
      <c r="B3657" s="11" t="s">
        <v>6356</v>
      </c>
      <c r="C3657" s="2844">
        <v>7515</v>
      </c>
      <c r="D3657" s="2844">
        <v>667513070.14617801</v>
      </c>
      <c r="E3657" s="2845">
        <v>0</v>
      </c>
      <c r="F3657" s="2846">
        <v>100</v>
      </c>
      <c r="G3657" s="2847">
        <v>0</v>
      </c>
    </row>
    <row r="3658" spans="1:7" x14ac:dyDescent="0.3">
      <c r="A3658" s="3449" t="s">
        <v>702</v>
      </c>
      <c r="B3658" s="3450"/>
      <c r="C3658" s="3450"/>
      <c r="D3658" s="3450"/>
      <c r="E3658" s="3450"/>
      <c r="F3658" s="3450"/>
      <c r="G3658" s="3450"/>
    </row>
    <row r="3659" spans="1:7" x14ac:dyDescent="0.3">
      <c r="A3659" s="11" t="s">
        <v>1019</v>
      </c>
      <c r="B3659" s="11" t="s">
        <v>1020</v>
      </c>
      <c r="C3659" s="2852">
        <v>7515</v>
      </c>
      <c r="D3659" s="2852">
        <v>667513070.14617801</v>
      </c>
      <c r="E3659" s="2853">
        <v>23529830.745542798</v>
      </c>
      <c r="F3659" s="2854">
        <v>100</v>
      </c>
      <c r="G3659" s="2855">
        <v>0</v>
      </c>
    </row>
    <row r="3660" spans="1:7" x14ac:dyDescent="0.3">
      <c r="A3660" s="6" t="s">
        <v>6354</v>
      </c>
      <c r="B3660" s="6" t="s">
        <v>6355</v>
      </c>
      <c r="C3660" s="2848">
        <v>0</v>
      </c>
      <c r="D3660" s="2848">
        <v>0</v>
      </c>
      <c r="E3660" s="2849">
        <v>0</v>
      </c>
      <c r="F3660" s="2850">
        <v>0</v>
      </c>
      <c r="G3660" s="2851">
        <v>0</v>
      </c>
    </row>
    <row r="3661" spans="1:7" x14ac:dyDescent="0.3">
      <c r="A3661" s="11" t="s">
        <v>6354</v>
      </c>
      <c r="B3661" s="11" t="s">
        <v>6356</v>
      </c>
      <c r="C3661" s="2852">
        <v>7515</v>
      </c>
      <c r="D3661" s="2852">
        <v>667513070.14617801</v>
      </c>
      <c r="E3661" s="2853">
        <v>0</v>
      </c>
      <c r="F3661" s="2854">
        <v>100</v>
      </c>
      <c r="G3661" s="2855">
        <v>0</v>
      </c>
    </row>
    <row r="3662" spans="1:7" x14ac:dyDescent="0.3">
      <c r="A3662" s="3449" t="s">
        <v>704</v>
      </c>
      <c r="B3662" s="3450"/>
      <c r="C3662" s="3450"/>
      <c r="D3662" s="3450"/>
      <c r="E3662" s="3450"/>
      <c r="F3662" s="3450"/>
      <c r="G3662" s="3450"/>
    </row>
    <row r="3663" spans="1:7" x14ac:dyDescent="0.3">
      <c r="A3663" s="11" t="s">
        <v>1065</v>
      </c>
      <c r="B3663" s="11" t="s">
        <v>6144</v>
      </c>
      <c r="C3663" s="2860">
        <v>5</v>
      </c>
      <c r="D3663" s="2860">
        <v>969195.66166005295</v>
      </c>
      <c r="E3663" s="2861">
        <v>976247.97733565897</v>
      </c>
      <c r="F3663" s="2862">
        <v>100</v>
      </c>
      <c r="G3663" s="2863">
        <v>0</v>
      </c>
    </row>
    <row r="3664" spans="1:7" x14ac:dyDescent="0.3">
      <c r="A3664" s="6" t="s">
        <v>1019</v>
      </c>
      <c r="B3664" s="6" t="s">
        <v>1020</v>
      </c>
      <c r="C3664" s="2856">
        <v>7510</v>
      </c>
      <c r="D3664" s="2856">
        <v>666543874.48451805</v>
      </c>
      <c r="E3664" s="2857">
        <v>24107341.980603401</v>
      </c>
      <c r="F3664" s="2858">
        <v>100</v>
      </c>
      <c r="G3664" s="2859">
        <v>0</v>
      </c>
    </row>
    <row r="3665" spans="1:7" x14ac:dyDescent="0.3">
      <c r="A3665" s="11" t="s">
        <v>6354</v>
      </c>
      <c r="B3665" s="11" t="s">
        <v>6355</v>
      </c>
      <c r="C3665" s="2860">
        <v>5</v>
      </c>
      <c r="D3665" s="2860">
        <v>969195.66166005295</v>
      </c>
      <c r="E3665" s="2861">
        <v>976247.97733565897</v>
      </c>
      <c r="F3665" s="2862">
        <v>0.145195008907887</v>
      </c>
      <c r="G3665" s="2863">
        <v>0.14760303215291801</v>
      </c>
    </row>
    <row r="3666" spans="1:7" x14ac:dyDescent="0.3">
      <c r="A3666" s="6" t="s">
        <v>6354</v>
      </c>
      <c r="B3666" s="6" t="s">
        <v>6356</v>
      </c>
      <c r="C3666" s="2856">
        <v>7515</v>
      </c>
      <c r="D3666" s="2856">
        <v>667513070.14617801</v>
      </c>
      <c r="E3666" s="2857">
        <v>0</v>
      </c>
      <c r="F3666" s="2858">
        <v>100</v>
      </c>
      <c r="G3666" s="2859">
        <v>0</v>
      </c>
    </row>
    <row r="3667" spans="1:7" x14ac:dyDescent="0.3">
      <c r="A3667" s="3449" t="s">
        <v>706</v>
      </c>
      <c r="B3667" s="3450"/>
      <c r="C3667" s="3450"/>
      <c r="D3667" s="3450"/>
      <c r="E3667" s="3450"/>
      <c r="F3667" s="3450"/>
      <c r="G3667" s="3450"/>
    </row>
    <row r="3668" spans="1:7" x14ac:dyDescent="0.3">
      <c r="A3668" s="11" t="s">
        <v>1067</v>
      </c>
      <c r="B3668" s="11" t="s">
        <v>6124</v>
      </c>
      <c r="C3668" s="2868">
        <v>1</v>
      </c>
      <c r="D3668" s="2868">
        <v>163910.30631346101</v>
      </c>
      <c r="E3668" s="2869">
        <v>162100.27474622201</v>
      </c>
      <c r="F3668" s="2870">
        <v>100</v>
      </c>
      <c r="G3668" s="2871" t="e">
        <v>#NUM!</v>
      </c>
    </row>
    <row r="3669" spans="1:7" x14ac:dyDescent="0.3">
      <c r="A3669" s="6" t="s">
        <v>1019</v>
      </c>
      <c r="B3669" s="6" t="s">
        <v>1020</v>
      </c>
      <c r="C3669" s="2864">
        <v>7514</v>
      </c>
      <c r="D3669" s="2864">
        <v>667349159.83986402</v>
      </c>
      <c r="E3669" s="2865">
        <v>23484468.133892301</v>
      </c>
      <c r="F3669" s="2866">
        <v>100</v>
      </c>
      <c r="G3669" s="2867">
        <v>0</v>
      </c>
    </row>
    <row r="3670" spans="1:7" x14ac:dyDescent="0.3">
      <c r="A3670" s="11" t="s">
        <v>6354</v>
      </c>
      <c r="B3670" s="11" t="s">
        <v>6355</v>
      </c>
      <c r="C3670" s="2868">
        <v>1</v>
      </c>
      <c r="D3670" s="2868">
        <v>163910.30631346101</v>
      </c>
      <c r="E3670" s="2869">
        <v>162100.27474622201</v>
      </c>
      <c r="F3670" s="2870">
        <v>2.4555370320698999E-2</v>
      </c>
      <c r="G3670" s="2871">
        <v>2.4380538517763398E-2</v>
      </c>
    </row>
    <row r="3671" spans="1:7" x14ac:dyDescent="0.3">
      <c r="A3671" s="6" t="s">
        <v>6354</v>
      </c>
      <c r="B3671" s="6" t="s">
        <v>6356</v>
      </c>
      <c r="C3671" s="2864">
        <v>7515</v>
      </c>
      <c r="D3671" s="2864">
        <v>667513070.14617801</v>
      </c>
      <c r="E3671" s="2865">
        <v>0</v>
      </c>
      <c r="F3671" s="2866">
        <v>100</v>
      </c>
      <c r="G3671" s="2867">
        <v>0</v>
      </c>
    </row>
    <row r="3672" spans="1:7" x14ac:dyDescent="0.3">
      <c r="A3672" s="3449" t="s">
        <v>708</v>
      </c>
      <c r="B3672" s="3450"/>
      <c r="C3672" s="3450"/>
      <c r="D3672" s="3450"/>
      <c r="E3672" s="3450"/>
      <c r="F3672" s="3450"/>
      <c r="G3672" s="3450"/>
    </row>
    <row r="3673" spans="1:7" x14ac:dyDescent="0.3">
      <c r="A3673" s="11" t="s">
        <v>1019</v>
      </c>
      <c r="B3673" s="11" t="s">
        <v>1020</v>
      </c>
      <c r="C3673" s="2876">
        <v>7515</v>
      </c>
      <c r="D3673" s="2876">
        <v>667513070.14617801</v>
      </c>
      <c r="E3673" s="2877">
        <v>23529830.745542798</v>
      </c>
      <c r="F3673" s="2878">
        <v>100</v>
      </c>
      <c r="G3673" s="2879">
        <v>0</v>
      </c>
    </row>
    <row r="3674" spans="1:7" x14ac:dyDescent="0.3">
      <c r="A3674" s="6" t="s">
        <v>6354</v>
      </c>
      <c r="B3674" s="6" t="s">
        <v>6355</v>
      </c>
      <c r="C3674" s="2872">
        <v>0</v>
      </c>
      <c r="D3674" s="2872">
        <v>0</v>
      </c>
      <c r="E3674" s="2873">
        <v>0</v>
      </c>
      <c r="F3674" s="2874">
        <v>0</v>
      </c>
      <c r="G3674" s="2875">
        <v>0</v>
      </c>
    </row>
    <row r="3675" spans="1:7" x14ac:dyDescent="0.3">
      <c r="A3675" s="11" t="s">
        <v>6354</v>
      </c>
      <c r="B3675" s="11" t="s">
        <v>6356</v>
      </c>
      <c r="C3675" s="2876">
        <v>7515</v>
      </c>
      <c r="D3675" s="2876">
        <v>667513070.14617801</v>
      </c>
      <c r="E3675" s="2877">
        <v>0</v>
      </c>
      <c r="F3675" s="2878">
        <v>100</v>
      </c>
      <c r="G3675" s="2879">
        <v>0</v>
      </c>
    </row>
    <row r="3676" spans="1:7" x14ac:dyDescent="0.3">
      <c r="A3676" s="3449" t="s">
        <v>710</v>
      </c>
      <c r="B3676" s="3450"/>
      <c r="C3676" s="3450"/>
      <c r="D3676" s="3450"/>
      <c r="E3676" s="3450"/>
      <c r="F3676" s="3450"/>
      <c r="G3676" s="3450"/>
    </row>
    <row r="3677" spans="1:7" x14ac:dyDescent="0.3">
      <c r="A3677" s="11" t="s">
        <v>1019</v>
      </c>
      <c r="B3677" s="11" t="s">
        <v>1020</v>
      </c>
      <c r="C3677" s="2884">
        <v>7515</v>
      </c>
      <c r="D3677" s="2884">
        <v>667513070.14617801</v>
      </c>
      <c r="E3677" s="2885">
        <v>23529830.745542798</v>
      </c>
      <c r="F3677" s="2886">
        <v>100</v>
      </c>
      <c r="G3677" s="2887">
        <v>0</v>
      </c>
    </row>
    <row r="3678" spans="1:7" x14ac:dyDescent="0.3">
      <c r="A3678" s="6" t="s">
        <v>6354</v>
      </c>
      <c r="B3678" s="6" t="s">
        <v>6355</v>
      </c>
      <c r="C3678" s="2880">
        <v>0</v>
      </c>
      <c r="D3678" s="2880">
        <v>0</v>
      </c>
      <c r="E3678" s="2881">
        <v>0</v>
      </c>
      <c r="F3678" s="2882">
        <v>0</v>
      </c>
      <c r="G3678" s="2883">
        <v>0</v>
      </c>
    </row>
    <row r="3679" spans="1:7" x14ac:dyDescent="0.3">
      <c r="A3679" s="11" t="s">
        <v>6354</v>
      </c>
      <c r="B3679" s="11" t="s">
        <v>6356</v>
      </c>
      <c r="C3679" s="2884">
        <v>7515</v>
      </c>
      <c r="D3679" s="2884">
        <v>667513070.14617801</v>
      </c>
      <c r="E3679" s="2885">
        <v>0</v>
      </c>
      <c r="F3679" s="2886">
        <v>100</v>
      </c>
      <c r="G3679" s="2887">
        <v>0</v>
      </c>
    </row>
    <row r="3680" spans="1:7" x14ac:dyDescent="0.3">
      <c r="A3680" s="3449" t="s">
        <v>712</v>
      </c>
      <c r="B3680" s="3450"/>
      <c r="C3680" s="3450"/>
      <c r="D3680" s="3450"/>
      <c r="E3680" s="3450"/>
      <c r="F3680" s="3450"/>
      <c r="G3680" s="3450"/>
    </row>
    <row r="3681" spans="1:7" x14ac:dyDescent="0.3">
      <c r="A3681" s="11" t="s">
        <v>1019</v>
      </c>
      <c r="B3681" s="11" t="s">
        <v>1020</v>
      </c>
      <c r="C3681" s="2892">
        <v>7515</v>
      </c>
      <c r="D3681" s="2892">
        <v>667513070.14617801</v>
      </c>
      <c r="E3681" s="2893">
        <v>23529830.745542798</v>
      </c>
      <c r="F3681" s="2894">
        <v>100</v>
      </c>
      <c r="G3681" s="2895">
        <v>0</v>
      </c>
    </row>
    <row r="3682" spans="1:7" x14ac:dyDescent="0.3">
      <c r="A3682" s="6" t="s">
        <v>6354</v>
      </c>
      <c r="B3682" s="6" t="s">
        <v>6355</v>
      </c>
      <c r="C3682" s="2888">
        <v>0</v>
      </c>
      <c r="D3682" s="2888">
        <v>0</v>
      </c>
      <c r="E3682" s="2889">
        <v>0</v>
      </c>
      <c r="F3682" s="2890">
        <v>0</v>
      </c>
      <c r="G3682" s="2891">
        <v>0</v>
      </c>
    </row>
    <row r="3683" spans="1:7" x14ac:dyDescent="0.3">
      <c r="A3683" s="11" t="s">
        <v>6354</v>
      </c>
      <c r="B3683" s="11" t="s">
        <v>6356</v>
      </c>
      <c r="C3683" s="2892">
        <v>7515</v>
      </c>
      <c r="D3683" s="2892">
        <v>667513070.14617801</v>
      </c>
      <c r="E3683" s="2893">
        <v>0</v>
      </c>
      <c r="F3683" s="2894">
        <v>100</v>
      </c>
      <c r="G3683" s="2895">
        <v>0</v>
      </c>
    </row>
    <row r="3684" spans="1:7" x14ac:dyDescent="0.3">
      <c r="A3684" s="3449" t="s">
        <v>714</v>
      </c>
      <c r="B3684" s="3450"/>
      <c r="C3684" s="3450"/>
      <c r="D3684" s="3450"/>
      <c r="E3684" s="3450"/>
      <c r="F3684" s="3450"/>
      <c r="G3684" s="3450"/>
    </row>
    <row r="3685" spans="1:7" x14ac:dyDescent="0.3">
      <c r="A3685" s="11" t="s">
        <v>1019</v>
      </c>
      <c r="B3685" s="11" t="s">
        <v>1020</v>
      </c>
      <c r="C3685" s="2900">
        <v>7515</v>
      </c>
      <c r="D3685" s="2900">
        <v>667513070.14617801</v>
      </c>
      <c r="E3685" s="2901">
        <v>23529830.745542798</v>
      </c>
      <c r="F3685" s="2902">
        <v>100</v>
      </c>
      <c r="G3685" s="2903">
        <v>0</v>
      </c>
    </row>
    <row r="3686" spans="1:7" x14ac:dyDescent="0.3">
      <c r="A3686" s="6" t="s">
        <v>6354</v>
      </c>
      <c r="B3686" s="6" t="s">
        <v>6355</v>
      </c>
      <c r="C3686" s="2896">
        <v>0</v>
      </c>
      <c r="D3686" s="2896">
        <v>0</v>
      </c>
      <c r="E3686" s="2897">
        <v>0</v>
      </c>
      <c r="F3686" s="2898">
        <v>0</v>
      </c>
      <c r="G3686" s="2899">
        <v>0</v>
      </c>
    </row>
    <row r="3687" spans="1:7" x14ac:dyDescent="0.3">
      <c r="A3687" s="11" t="s">
        <v>6354</v>
      </c>
      <c r="B3687" s="11" t="s">
        <v>6356</v>
      </c>
      <c r="C3687" s="2900">
        <v>7515</v>
      </c>
      <c r="D3687" s="2900">
        <v>667513070.14617801</v>
      </c>
      <c r="E3687" s="2901">
        <v>0</v>
      </c>
      <c r="F3687" s="2902">
        <v>100</v>
      </c>
      <c r="G3687" s="2903">
        <v>0</v>
      </c>
    </row>
    <row r="3688" spans="1:7" x14ac:dyDescent="0.3">
      <c r="A3688" s="3449" t="s">
        <v>716</v>
      </c>
      <c r="B3688" s="3450"/>
      <c r="C3688" s="3450"/>
      <c r="D3688" s="3450"/>
      <c r="E3688" s="3450"/>
      <c r="F3688" s="3450"/>
      <c r="G3688" s="3450"/>
    </row>
    <row r="3689" spans="1:7" x14ac:dyDescent="0.3">
      <c r="A3689" s="11" t="s">
        <v>1077</v>
      </c>
      <c r="B3689" s="11" t="s">
        <v>6147</v>
      </c>
      <c r="C3689" s="2908">
        <v>1</v>
      </c>
      <c r="D3689" s="2908">
        <v>112243.05286966699</v>
      </c>
      <c r="E3689" s="2909">
        <v>115432.011942809</v>
      </c>
      <c r="F3689" s="2910">
        <v>100</v>
      </c>
      <c r="G3689" s="2911" t="e">
        <v>#NUM!</v>
      </c>
    </row>
    <row r="3690" spans="1:7" x14ac:dyDescent="0.3">
      <c r="A3690" s="6" t="s">
        <v>1019</v>
      </c>
      <c r="B3690" s="6" t="s">
        <v>1020</v>
      </c>
      <c r="C3690" s="2904">
        <v>7514</v>
      </c>
      <c r="D3690" s="2904">
        <v>667400827.09330797</v>
      </c>
      <c r="E3690" s="2905">
        <v>23619063.100706801</v>
      </c>
      <c r="F3690" s="2906">
        <v>100</v>
      </c>
      <c r="G3690" s="2907">
        <v>0</v>
      </c>
    </row>
    <row r="3691" spans="1:7" x14ac:dyDescent="0.3">
      <c r="A3691" s="11" t="s">
        <v>6354</v>
      </c>
      <c r="B3691" s="11" t="s">
        <v>6355</v>
      </c>
      <c r="C3691" s="2908">
        <v>1</v>
      </c>
      <c r="D3691" s="2908">
        <v>112243.05286966699</v>
      </c>
      <c r="E3691" s="2909">
        <v>115432.011942809</v>
      </c>
      <c r="F3691" s="2910">
        <v>1.68151093798189E-2</v>
      </c>
      <c r="G3691" s="2911">
        <v>1.7472105672137E-2</v>
      </c>
    </row>
    <row r="3692" spans="1:7" x14ac:dyDescent="0.3">
      <c r="A3692" s="6" t="s">
        <v>6354</v>
      </c>
      <c r="B3692" s="6" t="s">
        <v>6356</v>
      </c>
      <c r="C3692" s="2904">
        <v>7515</v>
      </c>
      <c r="D3692" s="2904">
        <v>667513070.14617801</v>
      </c>
      <c r="E3692" s="2905">
        <v>0</v>
      </c>
      <c r="F3692" s="2906">
        <v>100</v>
      </c>
      <c r="G3692" s="2907">
        <v>0</v>
      </c>
    </row>
    <row r="3693" spans="1:7" x14ac:dyDescent="0.3">
      <c r="A3693" s="3449" t="s">
        <v>718</v>
      </c>
      <c r="B3693" s="3450"/>
      <c r="C3693" s="3450"/>
      <c r="D3693" s="3450"/>
      <c r="E3693" s="3450"/>
      <c r="F3693" s="3450"/>
      <c r="G3693" s="3450"/>
    </row>
    <row r="3694" spans="1:7" x14ac:dyDescent="0.3">
      <c r="A3694" s="11" t="s">
        <v>1019</v>
      </c>
      <c r="B3694" s="11" t="s">
        <v>1020</v>
      </c>
      <c r="C3694" s="2916">
        <v>7515</v>
      </c>
      <c r="D3694" s="2916">
        <v>667513070.14617801</v>
      </c>
      <c r="E3694" s="2917">
        <v>23529830.745542798</v>
      </c>
      <c r="F3694" s="2918">
        <v>100</v>
      </c>
      <c r="G3694" s="2919">
        <v>0</v>
      </c>
    </row>
    <row r="3695" spans="1:7" x14ac:dyDescent="0.3">
      <c r="A3695" s="6" t="s">
        <v>6354</v>
      </c>
      <c r="B3695" s="6" t="s">
        <v>6355</v>
      </c>
      <c r="C3695" s="2912">
        <v>0</v>
      </c>
      <c r="D3695" s="2912">
        <v>0</v>
      </c>
      <c r="E3695" s="2913">
        <v>0</v>
      </c>
      <c r="F3695" s="2914">
        <v>0</v>
      </c>
      <c r="G3695" s="2915">
        <v>0</v>
      </c>
    </row>
    <row r="3696" spans="1:7" x14ac:dyDescent="0.3">
      <c r="A3696" s="11" t="s">
        <v>6354</v>
      </c>
      <c r="B3696" s="11" t="s">
        <v>6356</v>
      </c>
      <c r="C3696" s="2916">
        <v>7515</v>
      </c>
      <c r="D3696" s="2916">
        <v>667513070.14617801</v>
      </c>
      <c r="E3696" s="2917">
        <v>0</v>
      </c>
      <c r="F3696" s="2918">
        <v>100</v>
      </c>
      <c r="G3696" s="2919">
        <v>0</v>
      </c>
    </row>
    <row r="3697" spans="1:7" x14ac:dyDescent="0.3">
      <c r="A3697" s="3449" t="s">
        <v>720</v>
      </c>
      <c r="B3697" s="3450"/>
      <c r="C3697" s="3450"/>
      <c r="D3697" s="3450"/>
      <c r="E3697" s="3450"/>
      <c r="F3697" s="3450"/>
      <c r="G3697" s="3450"/>
    </row>
    <row r="3698" spans="1:7" x14ac:dyDescent="0.3">
      <c r="A3698" s="11" t="s">
        <v>1081</v>
      </c>
      <c r="B3698" s="11" t="s">
        <v>6148</v>
      </c>
      <c r="C3698" s="2924">
        <v>1</v>
      </c>
      <c r="D3698" s="2924">
        <v>54110.163119045101</v>
      </c>
      <c r="E3698" s="2925">
        <v>56143.888252984201</v>
      </c>
      <c r="F3698" s="2926">
        <v>100</v>
      </c>
      <c r="G3698" s="2927" t="e">
        <v>#NUM!</v>
      </c>
    </row>
    <row r="3699" spans="1:7" x14ac:dyDescent="0.3">
      <c r="A3699" s="6" t="s">
        <v>1019</v>
      </c>
      <c r="B3699" s="6" t="s">
        <v>1020</v>
      </c>
      <c r="C3699" s="2920">
        <v>7514</v>
      </c>
      <c r="D3699" s="2920">
        <v>667458959.98305905</v>
      </c>
      <c r="E3699" s="2921">
        <v>23539089.420990501</v>
      </c>
      <c r="F3699" s="2922">
        <v>100</v>
      </c>
      <c r="G3699" s="2923">
        <v>0</v>
      </c>
    </row>
    <row r="3700" spans="1:7" x14ac:dyDescent="0.3">
      <c r="A3700" s="11" t="s">
        <v>6354</v>
      </c>
      <c r="B3700" s="11" t="s">
        <v>6355</v>
      </c>
      <c r="C3700" s="2924">
        <v>1</v>
      </c>
      <c r="D3700" s="2924">
        <v>54110.163119045101</v>
      </c>
      <c r="E3700" s="2925">
        <v>56143.888252984201</v>
      </c>
      <c r="F3700" s="2926">
        <v>8.1062327524456697E-3</v>
      </c>
      <c r="G3700" s="2927">
        <v>8.4822658467539596E-3</v>
      </c>
    </row>
    <row r="3701" spans="1:7" x14ac:dyDescent="0.3">
      <c r="A3701" s="6" t="s">
        <v>6354</v>
      </c>
      <c r="B3701" s="6" t="s">
        <v>6356</v>
      </c>
      <c r="C3701" s="2920">
        <v>7515</v>
      </c>
      <c r="D3701" s="2920">
        <v>667513070.14617801</v>
      </c>
      <c r="E3701" s="2921">
        <v>0</v>
      </c>
      <c r="F3701" s="2922">
        <v>100</v>
      </c>
      <c r="G3701" s="2923">
        <v>0</v>
      </c>
    </row>
    <row r="3702" spans="1:7" x14ac:dyDescent="0.3">
      <c r="A3702" s="3449" t="s">
        <v>724</v>
      </c>
      <c r="B3702" s="3450"/>
      <c r="C3702" s="3450"/>
      <c r="D3702" s="3450"/>
      <c r="E3702" s="3450"/>
      <c r="F3702" s="3450"/>
      <c r="G3702" s="3450"/>
    </row>
    <row r="3703" spans="1:7" x14ac:dyDescent="0.3">
      <c r="A3703" s="11" t="s">
        <v>1019</v>
      </c>
      <c r="B3703" s="11" t="s">
        <v>1020</v>
      </c>
      <c r="C3703" s="2932">
        <v>7515</v>
      </c>
      <c r="D3703" s="2932">
        <v>667513070.14617801</v>
      </c>
      <c r="E3703" s="2933">
        <v>23529830.745542798</v>
      </c>
      <c r="F3703" s="2934">
        <v>100</v>
      </c>
      <c r="G3703" s="2935">
        <v>0</v>
      </c>
    </row>
    <row r="3704" spans="1:7" x14ac:dyDescent="0.3">
      <c r="A3704" s="6" t="s">
        <v>6354</v>
      </c>
      <c r="B3704" s="6" t="s">
        <v>6355</v>
      </c>
      <c r="C3704" s="2928">
        <v>0</v>
      </c>
      <c r="D3704" s="2928">
        <v>0</v>
      </c>
      <c r="E3704" s="2929">
        <v>0</v>
      </c>
      <c r="F3704" s="2930">
        <v>0</v>
      </c>
      <c r="G3704" s="2931">
        <v>0</v>
      </c>
    </row>
    <row r="3705" spans="1:7" x14ac:dyDescent="0.3">
      <c r="A3705" s="11" t="s">
        <v>6354</v>
      </c>
      <c r="B3705" s="11" t="s">
        <v>6356</v>
      </c>
      <c r="C3705" s="2932">
        <v>7515</v>
      </c>
      <c r="D3705" s="2932">
        <v>667513070.14617801</v>
      </c>
      <c r="E3705" s="2933">
        <v>0</v>
      </c>
      <c r="F3705" s="2934">
        <v>100</v>
      </c>
      <c r="G3705" s="2935">
        <v>0</v>
      </c>
    </row>
    <row r="3706" spans="1:7" x14ac:dyDescent="0.3">
      <c r="A3706" s="3449" t="s">
        <v>742</v>
      </c>
      <c r="B3706" s="3450"/>
      <c r="C3706" s="3450"/>
      <c r="D3706" s="3450"/>
      <c r="E3706" s="3450"/>
      <c r="F3706" s="3450"/>
      <c r="G3706" s="3450"/>
    </row>
    <row r="3707" spans="1:7" x14ac:dyDescent="0.3">
      <c r="A3707" s="11" t="s">
        <v>1052</v>
      </c>
      <c r="B3707" s="11" t="s">
        <v>6149</v>
      </c>
      <c r="C3707" s="2940">
        <v>6</v>
      </c>
      <c r="D3707" s="2940">
        <v>531357.17850395001</v>
      </c>
      <c r="E3707" s="2941">
        <v>382629.59142289899</v>
      </c>
      <c r="F3707" s="2942">
        <v>100</v>
      </c>
      <c r="G3707" s="2943">
        <v>0</v>
      </c>
    </row>
    <row r="3708" spans="1:7" x14ac:dyDescent="0.3">
      <c r="A3708" s="6" t="s">
        <v>1019</v>
      </c>
      <c r="B3708" s="6" t="s">
        <v>1020</v>
      </c>
      <c r="C3708" s="2936">
        <v>7509</v>
      </c>
      <c r="D3708" s="2936">
        <v>666981712.96767402</v>
      </c>
      <c r="E3708" s="2937">
        <v>23392453.177620601</v>
      </c>
      <c r="F3708" s="2938">
        <v>100</v>
      </c>
      <c r="G3708" s="2939">
        <v>0</v>
      </c>
    </row>
    <row r="3709" spans="1:7" x14ac:dyDescent="0.3">
      <c r="A3709" s="11" t="s">
        <v>6354</v>
      </c>
      <c r="B3709" s="11" t="s">
        <v>6355</v>
      </c>
      <c r="C3709" s="2940">
        <v>6</v>
      </c>
      <c r="D3709" s="2940">
        <v>531357.17850395001</v>
      </c>
      <c r="E3709" s="2941">
        <v>382629.59142289899</v>
      </c>
      <c r="F3709" s="2942">
        <v>7.96025130096088E-2</v>
      </c>
      <c r="G3709" s="2943">
        <v>5.6932766587587599E-2</v>
      </c>
    </row>
    <row r="3710" spans="1:7" x14ac:dyDescent="0.3">
      <c r="A3710" s="6" t="s">
        <v>6354</v>
      </c>
      <c r="B3710" s="6" t="s">
        <v>6356</v>
      </c>
      <c r="C3710" s="2936">
        <v>7515</v>
      </c>
      <c r="D3710" s="2936">
        <v>667513070.14617801</v>
      </c>
      <c r="E3710" s="2937">
        <v>0</v>
      </c>
      <c r="F3710" s="2938">
        <v>100</v>
      </c>
      <c r="G3710" s="2939">
        <v>0</v>
      </c>
    </row>
    <row r="3711" spans="1:7" x14ac:dyDescent="0.3">
      <c r="A3711" s="3449" t="s">
        <v>740</v>
      </c>
      <c r="B3711" s="3450"/>
      <c r="C3711" s="3450"/>
      <c r="D3711" s="3450"/>
      <c r="E3711" s="3450"/>
      <c r="F3711" s="3450"/>
      <c r="G3711" s="3450"/>
    </row>
    <row r="3712" spans="1:7" x14ac:dyDescent="0.3">
      <c r="A3712" s="11" t="s">
        <v>1019</v>
      </c>
      <c r="B3712" s="11" t="s">
        <v>1020</v>
      </c>
      <c r="C3712" s="2948">
        <v>7515</v>
      </c>
      <c r="D3712" s="2948">
        <v>667513070.14617801</v>
      </c>
      <c r="E3712" s="2949">
        <v>23529830.745542798</v>
      </c>
      <c r="F3712" s="2950">
        <v>100</v>
      </c>
      <c r="G3712" s="2951">
        <v>0</v>
      </c>
    </row>
    <row r="3713" spans="1:7" x14ac:dyDescent="0.3">
      <c r="A3713" s="6" t="s">
        <v>6354</v>
      </c>
      <c r="B3713" s="6" t="s">
        <v>6355</v>
      </c>
      <c r="C3713" s="2944">
        <v>0</v>
      </c>
      <c r="D3713" s="2944">
        <v>0</v>
      </c>
      <c r="E3713" s="2945">
        <v>0</v>
      </c>
      <c r="F3713" s="2946">
        <v>0</v>
      </c>
      <c r="G3713" s="2947">
        <v>0</v>
      </c>
    </row>
    <row r="3714" spans="1:7" x14ac:dyDescent="0.3">
      <c r="A3714" s="11" t="s">
        <v>6354</v>
      </c>
      <c r="B3714" s="11" t="s">
        <v>6356</v>
      </c>
      <c r="C3714" s="2948">
        <v>7515</v>
      </c>
      <c r="D3714" s="2948">
        <v>667513070.14617801</v>
      </c>
      <c r="E3714" s="2949">
        <v>0</v>
      </c>
      <c r="F3714" s="2950">
        <v>100</v>
      </c>
      <c r="G3714" s="2951">
        <v>0</v>
      </c>
    </row>
    <row r="3715" spans="1:7" x14ac:dyDescent="0.3">
      <c r="A3715" s="3449" t="s">
        <v>744</v>
      </c>
      <c r="B3715" s="3450"/>
      <c r="C3715" s="3450"/>
      <c r="D3715" s="3450"/>
      <c r="E3715" s="3450"/>
      <c r="F3715" s="3450"/>
      <c r="G3715" s="3450"/>
    </row>
    <row r="3716" spans="1:7" x14ac:dyDescent="0.3">
      <c r="A3716" s="11" t="s">
        <v>1019</v>
      </c>
      <c r="B3716" s="11" t="s">
        <v>1020</v>
      </c>
      <c r="C3716" s="2956">
        <v>7515</v>
      </c>
      <c r="D3716" s="2956">
        <v>667513070.14617801</v>
      </c>
      <c r="E3716" s="2957">
        <v>23529830.745542798</v>
      </c>
      <c r="F3716" s="2958">
        <v>100</v>
      </c>
      <c r="G3716" s="2959">
        <v>0</v>
      </c>
    </row>
    <row r="3717" spans="1:7" x14ac:dyDescent="0.3">
      <c r="A3717" s="6" t="s">
        <v>6354</v>
      </c>
      <c r="B3717" s="6" t="s">
        <v>6355</v>
      </c>
      <c r="C3717" s="2952">
        <v>0</v>
      </c>
      <c r="D3717" s="2952">
        <v>0</v>
      </c>
      <c r="E3717" s="2953">
        <v>0</v>
      </c>
      <c r="F3717" s="2954">
        <v>0</v>
      </c>
      <c r="G3717" s="2955">
        <v>0</v>
      </c>
    </row>
    <row r="3718" spans="1:7" x14ac:dyDescent="0.3">
      <c r="A3718" s="11" t="s">
        <v>6354</v>
      </c>
      <c r="B3718" s="11" t="s">
        <v>6356</v>
      </c>
      <c r="C3718" s="2956">
        <v>7515</v>
      </c>
      <c r="D3718" s="2956">
        <v>667513070.14617801</v>
      </c>
      <c r="E3718" s="2957">
        <v>0</v>
      </c>
      <c r="F3718" s="2958">
        <v>100</v>
      </c>
      <c r="G3718" s="2959">
        <v>0</v>
      </c>
    </row>
    <row r="3719" spans="1:7" x14ac:dyDescent="0.3">
      <c r="A3719" s="3449" t="s">
        <v>325</v>
      </c>
      <c r="B3719" s="3450"/>
      <c r="C3719" s="3450"/>
      <c r="D3719" s="3450"/>
      <c r="E3719" s="3450"/>
      <c r="F3719" s="3450"/>
      <c r="G3719" s="3450"/>
    </row>
    <row r="3720" spans="1:7" x14ac:dyDescent="0.3">
      <c r="A3720" s="11" t="s">
        <v>6622</v>
      </c>
      <c r="B3720" s="11"/>
      <c r="C3720" s="2964">
        <v>6</v>
      </c>
      <c r="D3720" s="2964">
        <v>531357.17850395001</v>
      </c>
      <c r="E3720" s="2965">
        <v>382629.59142289899</v>
      </c>
      <c r="F3720" s="2966">
        <v>100</v>
      </c>
      <c r="G3720" s="2967">
        <v>0</v>
      </c>
    </row>
    <row r="3721" spans="1:7" x14ac:dyDescent="0.3">
      <c r="A3721" s="6" t="s">
        <v>1019</v>
      </c>
      <c r="B3721" s="6" t="s">
        <v>1020</v>
      </c>
      <c r="C3721" s="2960">
        <v>7509</v>
      </c>
      <c r="D3721" s="2960">
        <v>666981712.96767402</v>
      </c>
      <c r="E3721" s="2961">
        <v>23392453.177620601</v>
      </c>
      <c r="F3721" s="2962">
        <v>100</v>
      </c>
      <c r="G3721" s="2963">
        <v>0</v>
      </c>
    </row>
    <row r="3722" spans="1:7" x14ac:dyDescent="0.3">
      <c r="A3722" s="11" t="s">
        <v>6354</v>
      </c>
      <c r="B3722" s="11" t="s">
        <v>6355</v>
      </c>
      <c r="C3722" s="2964">
        <v>6</v>
      </c>
      <c r="D3722" s="2964">
        <v>531357.17850395001</v>
      </c>
      <c r="E3722" s="2965">
        <v>382629.59142289899</v>
      </c>
      <c r="F3722" s="2966">
        <v>7.96025130096088E-2</v>
      </c>
      <c r="G3722" s="2967">
        <v>5.6932766587587599E-2</v>
      </c>
    </row>
    <row r="3723" spans="1:7" x14ac:dyDescent="0.3">
      <c r="A3723" s="6" t="s">
        <v>6354</v>
      </c>
      <c r="B3723" s="6" t="s">
        <v>6356</v>
      </c>
      <c r="C3723" s="2960">
        <v>7515</v>
      </c>
      <c r="D3723" s="2960">
        <v>667513070.14617801</v>
      </c>
      <c r="E3723" s="2961">
        <v>0</v>
      </c>
      <c r="F3723" s="2962">
        <v>100</v>
      </c>
      <c r="G3723" s="2963">
        <v>0</v>
      </c>
    </row>
    <row r="3724" spans="1:7" x14ac:dyDescent="0.3">
      <c r="A3724" s="3449" t="s">
        <v>756</v>
      </c>
      <c r="B3724" s="3450"/>
      <c r="C3724" s="3450"/>
      <c r="D3724" s="3450"/>
      <c r="E3724" s="3450"/>
      <c r="F3724" s="3450"/>
      <c r="G3724" s="3450"/>
    </row>
    <row r="3725" spans="1:7" x14ac:dyDescent="0.3">
      <c r="A3725" s="11" t="s">
        <v>1021</v>
      </c>
      <c r="B3725" s="11" t="s">
        <v>890</v>
      </c>
      <c r="C3725" s="2972">
        <v>30</v>
      </c>
      <c r="D3725" s="2972">
        <v>5764216.5169349099</v>
      </c>
      <c r="E3725" s="2973">
        <v>2235669.26262165</v>
      </c>
      <c r="F3725" s="2974">
        <v>100</v>
      </c>
      <c r="G3725" s="2975">
        <v>0</v>
      </c>
    </row>
    <row r="3726" spans="1:7" x14ac:dyDescent="0.3">
      <c r="A3726" s="6" t="s">
        <v>1019</v>
      </c>
      <c r="B3726" s="6" t="s">
        <v>1020</v>
      </c>
      <c r="C3726" s="2968">
        <v>7485</v>
      </c>
      <c r="D3726" s="2968">
        <v>661748853.62924194</v>
      </c>
      <c r="E3726" s="2969">
        <v>23693397.7232811</v>
      </c>
      <c r="F3726" s="2970">
        <v>100</v>
      </c>
      <c r="G3726" s="2971">
        <v>0</v>
      </c>
    </row>
    <row r="3727" spans="1:7" x14ac:dyDescent="0.3">
      <c r="A3727" s="11" t="s">
        <v>6354</v>
      </c>
      <c r="B3727" s="11" t="s">
        <v>6355</v>
      </c>
      <c r="C3727" s="2972">
        <v>30</v>
      </c>
      <c r="D3727" s="2972">
        <v>5764216.5169349099</v>
      </c>
      <c r="E3727" s="2973">
        <v>2235669.26262165</v>
      </c>
      <c r="F3727" s="2974">
        <v>0.86353612756565401</v>
      </c>
      <c r="G3727" s="2975">
        <v>0.33902037919661099</v>
      </c>
    </row>
    <row r="3728" spans="1:7" x14ac:dyDescent="0.3">
      <c r="A3728" s="6" t="s">
        <v>6354</v>
      </c>
      <c r="B3728" s="6" t="s">
        <v>6356</v>
      </c>
      <c r="C3728" s="2968">
        <v>7515</v>
      </c>
      <c r="D3728" s="2968">
        <v>667513070.14617705</v>
      </c>
      <c r="E3728" s="2969">
        <v>0</v>
      </c>
      <c r="F3728" s="2970">
        <v>100</v>
      </c>
      <c r="G3728" s="2971">
        <v>0</v>
      </c>
    </row>
    <row r="3729" spans="1:7" x14ac:dyDescent="0.3">
      <c r="A3729" s="3449" t="s">
        <v>779</v>
      </c>
      <c r="B3729" s="3450"/>
      <c r="C3729" s="3450"/>
      <c r="D3729" s="3450"/>
      <c r="E3729" s="3450"/>
      <c r="F3729" s="3450"/>
      <c r="G3729" s="3450"/>
    </row>
    <row r="3730" spans="1:7" x14ac:dyDescent="0.3">
      <c r="A3730" s="11" t="s">
        <v>1019</v>
      </c>
      <c r="B3730" s="11" t="s">
        <v>1020</v>
      </c>
      <c r="C3730" s="2980">
        <v>7515</v>
      </c>
      <c r="D3730" s="2980">
        <v>667513070.14617801</v>
      </c>
      <c r="E3730" s="2981">
        <v>23529830.745542798</v>
      </c>
      <c r="F3730" s="2982">
        <v>100</v>
      </c>
      <c r="G3730" s="2983">
        <v>0</v>
      </c>
    </row>
    <row r="3731" spans="1:7" x14ac:dyDescent="0.3">
      <c r="A3731" s="6" t="s">
        <v>6354</v>
      </c>
      <c r="B3731" s="6" t="s">
        <v>6355</v>
      </c>
      <c r="C3731" s="2976">
        <v>0</v>
      </c>
      <c r="D3731" s="2976">
        <v>0</v>
      </c>
      <c r="E3731" s="2977">
        <v>0</v>
      </c>
      <c r="F3731" s="2978">
        <v>0</v>
      </c>
      <c r="G3731" s="2979">
        <v>0</v>
      </c>
    </row>
    <row r="3732" spans="1:7" x14ac:dyDescent="0.3">
      <c r="A3732" s="11" t="s">
        <v>6354</v>
      </c>
      <c r="B3732" s="11" t="s">
        <v>6356</v>
      </c>
      <c r="C3732" s="2980">
        <v>7515</v>
      </c>
      <c r="D3732" s="2980">
        <v>667513070.14617801</v>
      </c>
      <c r="E3732" s="2981">
        <v>0</v>
      </c>
      <c r="F3732" s="2982">
        <v>100</v>
      </c>
      <c r="G3732" s="2983">
        <v>0</v>
      </c>
    </row>
    <row r="3733" spans="1:7" x14ac:dyDescent="0.3">
      <c r="A3733" s="3449" t="s">
        <v>783</v>
      </c>
      <c r="B3733" s="3450"/>
      <c r="C3733" s="3450"/>
      <c r="D3733" s="3450"/>
      <c r="E3733" s="3450"/>
      <c r="F3733" s="3450"/>
      <c r="G3733" s="3450"/>
    </row>
    <row r="3734" spans="1:7" x14ac:dyDescent="0.3">
      <c r="A3734" s="11" t="s">
        <v>1025</v>
      </c>
      <c r="B3734" s="11" t="s">
        <v>6157</v>
      </c>
      <c r="C3734" s="2988">
        <v>2</v>
      </c>
      <c r="D3734" s="2988">
        <v>110507.009754364</v>
      </c>
      <c r="E3734" s="2989">
        <v>113893.61955865999</v>
      </c>
      <c r="F3734" s="2990">
        <v>100</v>
      </c>
      <c r="G3734" s="2991" t="e">
        <v>#NUM!</v>
      </c>
    </row>
    <row r="3735" spans="1:7" x14ac:dyDescent="0.3">
      <c r="A3735" s="6" t="s">
        <v>1019</v>
      </c>
      <c r="B3735" s="6" t="s">
        <v>1020</v>
      </c>
      <c r="C3735" s="2984">
        <v>7513</v>
      </c>
      <c r="D3735" s="2984">
        <v>667402563.13642395</v>
      </c>
      <c r="E3735" s="2985">
        <v>23612987.5194644</v>
      </c>
      <c r="F3735" s="2986">
        <v>100</v>
      </c>
      <c r="G3735" s="2987">
        <v>0</v>
      </c>
    </row>
    <row r="3736" spans="1:7" x14ac:dyDescent="0.3">
      <c r="A3736" s="11" t="s">
        <v>6354</v>
      </c>
      <c r="B3736" s="11" t="s">
        <v>6355</v>
      </c>
      <c r="C3736" s="2988">
        <v>2</v>
      </c>
      <c r="D3736" s="2988">
        <v>110507.009754364</v>
      </c>
      <c r="E3736" s="2989">
        <v>113893.61955865999</v>
      </c>
      <c r="F3736" s="2990">
        <v>1.6555033106717201E-2</v>
      </c>
      <c r="G3736" s="2991">
        <v>1.7206566410959401E-2</v>
      </c>
    </row>
    <row r="3737" spans="1:7" x14ac:dyDescent="0.3">
      <c r="A3737" s="6" t="s">
        <v>6354</v>
      </c>
      <c r="B3737" s="6" t="s">
        <v>6356</v>
      </c>
      <c r="C3737" s="2984">
        <v>7515</v>
      </c>
      <c r="D3737" s="2984">
        <v>667513070.14617801</v>
      </c>
      <c r="E3737" s="2985">
        <v>0</v>
      </c>
      <c r="F3737" s="2986">
        <v>100</v>
      </c>
      <c r="G3737" s="2987">
        <v>0</v>
      </c>
    </row>
    <row r="3738" spans="1:7" x14ac:dyDescent="0.3">
      <c r="A3738" s="3449" t="s">
        <v>785</v>
      </c>
      <c r="B3738" s="3450"/>
      <c r="C3738" s="3450"/>
      <c r="D3738" s="3450"/>
      <c r="E3738" s="3450"/>
      <c r="F3738" s="3450"/>
      <c r="G3738" s="3450"/>
    </row>
    <row r="3739" spans="1:7" x14ac:dyDescent="0.3">
      <c r="A3739" s="11" t="s">
        <v>1019</v>
      </c>
      <c r="B3739" s="11" t="s">
        <v>1020</v>
      </c>
      <c r="C3739" s="2996">
        <v>7515</v>
      </c>
      <c r="D3739" s="2996">
        <v>667513070.14617801</v>
      </c>
      <c r="E3739" s="2997">
        <v>23529830.745542798</v>
      </c>
      <c r="F3739" s="2998">
        <v>100</v>
      </c>
      <c r="G3739" s="2999">
        <v>0</v>
      </c>
    </row>
    <row r="3740" spans="1:7" x14ac:dyDescent="0.3">
      <c r="A3740" s="6" t="s">
        <v>6354</v>
      </c>
      <c r="B3740" s="6" t="s">
        <v>6355</v>
      </c>
      <c r="C3740" s="2992">
        <v>0</v>
      </c>
      <c r="D3740" s="2992">
        <v>0</v>
      </c>
      <c r="E3740" s="2993">
        <v>0</v>
      </c>
      <c r="F3740" s="2994">
        <v>0</v>
      </c>
      <c r="G3740" s="2995">
        <v>0</v>
      </c>
    </row>
    <row r="3741" spans="1:7" x14ac:dyDescent="0.3">
      <c r="A3741" s="11" t="s">
        <v>6354</v>
      </c>
      <c r="B3741" s="11" t="s">
        <v>6356</v>
      </c>
      <c r="C3741" s="2996">
        <v>7515</v>
      </c>
      <c r="D3741" s="2996">
        <v>667513070.14617801</v>
      </c>
      <c r="E3741" s="2997">
        <v>0</v>
      </c>
      <c r="F3741" s="2998">
        <v>100</v>
      </c>
      <c r="G3741" s="2999">
        <v>0</v>
      </c>
    </row>
    <row r="3742" spans="1:7" x14ac:dyDescent="0.3">
      <c r="A3742" s="3449" t="s">
        <v>787</v>
      </c>
      <c r="B3742" s="3450"/>
      <c r="C3742" s="3450"/>
      <c r="D3742" s="3450"/>
      <c r="E3742" s="3450"/>
      <c r="F3742" s="3450"/>
      <c r="G3742" s="3450"/>
    </row>
    <row r="3743" spans="1:7" x14ac:dyDescent="0.3">
      <c r="A3743" s="11" t="s">
        <v>1029</v>
      </c>
      <c r="B3743" s="11" t="s">
        <v>6138</v>
      </c>
      <c r="C3743" s="3004">
        <v>1</v>
      </c>
      <c r="D3743" s="3004">
        <v>82587.188414364195</v>
      </c>
      <c r="E3743" s="3005">
        <v>92743.968517836998</v>
      </c>
      <c r="F3743" s="3006">
        <v>100</v>
      </c>
      <c r="G3743" s="3007" t="e">
        <v>#NUM!</v>
      </c>
    </row>
    <row r="3744" spans="1:7" x14ac:dyDescent="0.3">
      <c r="A3744" s="6" t="s">
        <v>1019</v>
      </c>
      <c r="B3744" s="6" t="s">
        <v>1020</v>
      </c>
      <c r="C3744" s="3000">
        <v>7514</v>
      </c>
      <c r="D3744" s="3000">
        <v>667430482.95776403</v>
      </c>
      <c r="E3744" s="3001">
        <v>23504203.138692498</v>
      </c>
      <c r="F3744" s="3002">
        <v>100</v>
      </c>
      <c r="G3744" s="3003">
        <v>0</v>
      </c>
    </row>
    <row r="3745" spans="1:7" x14ac:dyDescent="0.3">
      <c r="A3745" s="11" t="s">
        <v>6354</v>
      </c>
      <c r="B3745" s="11" t="s">
        <v>6355</v>
      </c>
      <c r="C3745" s="3004">
        <v>1</v>
      </c>
      <c r="D3745" s="3004">
        <v>82587.188414364195</v>
      </c>
      <c r="E3745" s="3005">
        <v>92743.968517836998</v>
      </c>
      <c r="F3745" s="3006">
        <v>1.2372370236327901E-2</v>
      </c>
      <c r="G3745" s="3007">
        <v>1.3713399317519E-2</v>
      </c>
    </row>
    <row r="3746" spans="1:7" x14ac:dyDescent="0.3">
      <c r="A3746" s="6" t="s">
        <v>6354</v>
      </c>
      <c r="B3746" s="6" t="s">
        <v>6356</v>
      </c>
      <c r="C3746" s="3000">
        <v>7515</v>
      </c>
      <c r="D3746" s="3000">
        <v>667513070.14617801</v>
      </c>
      <c r="E3746" s="3001">
        <v>0</v>
      </c>
      <c r="F3746" s="3002">
        <v>100</v>
      </c>
      <c r="G3746" s="3003">
        <v>0</v>
      </c>
    </row>
    <row r="3747" spans="1:7" x14ac:dyDescent="0.3">
      <c r="A3747" s="3449" t="s">
        <v>789</v>
      </c>
      <c r="B3747" s="3450"/>
      <c r="C3747" s="3450"/>
      <c r="D3747" s="3450"/>
      <c r="E3747" s="3450"/>
      <c r="F3747" s="3450"/>
      <c r="G3747" s="3450"/>
    </row>
    <row r="3748" spans="1:7" x14ac:dyDescent="0.3">
      <c r="A3748" s="11" t="s">
        <v>1019</v>
      </c>
      <c r="B3748" s="11" t="s">
        <v>1020</v>
      </c>
      <c r="C3748" s="3012">
        <v>7515</v>
      </c>
      <c r="D3748" s="3012">
        <v>667513070.14617801</v>
      </c>
      <c r="E3748" s="3013">
        <v>23529830.745542798</v>
      </c>
      <c r="F3748" s="3014">
        <v>100</v>
      </c>
      <c r="G3748" s="3015">
        <v>0</v>
      </c>
    </row>
    <row r="3749" spans="1:7" x14ac:dyDescent="0.3">
      <c r="A3749" s="6" t="s">
        <v>6354</v>
      </c>
      <c r="B3749" s="6" t="s">
        <v>6355</v>
      </c>
      <c r="C3749" s="3008">
        <v>0</v>
      </c>
      <c r="D3749" s="3008">
        <v>0</v>
      </c>
      <c r="E3749" s="3009">
        <v>0</v>
      </c>
      <c r="F3749" s="3010">
        <v>0</v>
      </c>
      <c r="G3749" s="3011">
        <v>0</v>
      </c>
    </row>
    <row r="3750" spans="1:7" x14ac:dyDescent="0.3">
      <c r="A3750" s="11" t="s">
        <v>6354</v>
      </c>
      <c r="B3750" s="11" t="s">
        <v>6356</v>
      </c>
      <c r="C3750" s="3012">
        <v>7515</v>
      </c>
      <c r="D3750" s="3012">
        <v>667513070.14617801</v>
      </c>
      <c r="E3750" s="3013">
        <v>0</v>
      </c>
      <c r="F3750" s="3014">
        <v>100</v>
      </c>
      <c r="G3750" s="3015">
        <v>0</v>
      </c>
    </row>
    <row r="3751" spans="1:7" x14ac:dyDescent="0.3">
      <c r="A3751" s="3449" t="s">
        <v>791</v>
      </c>
      <c r="B3751" s="3450"/>
      <c r="C3751" s="3450"/>
      <c r="D3751" s="3450"/>
      <c r="E3751" s="3450"/>
      <c r="F3751" s="3450"/>
      <c r="G3751" s="3450"/>
    </row>
    <row r="3752" spans="1:7" x14ac:dyDescent="0.3">
      <c r="A3752" s="11" t="s">
        <v>1019</v>
      </c>
      <c r="B3752" s="11" t="s">
        <v>1020</v>
      </c>
      <c r="C3752" s="3020">
        <v>7515</v>
      </c>
      <c r="D3752" s="3020">
        <v>667513070.14617801</v>
      </c>
      <c r="E3752" s="3021">
        <v>23529830.745542798</v>
      </c>
      <c r="F3752" s="3022">
        <v>100</v>
      </c>
      <c r="G3752" s="3023">
        <v>0</v>
      </c>
    </row>
    <row r="3753" spans="1:7" x14ac:dyDescent="0.3">
      <c r="A3753" s="6" t="s">
        <v>6354</v>
      </c>
      <c r="B3753" s="6" t="s">
        <v>6355</v>
      </c>
      <c r="C3753" s="3016">
        <v>0</v>
      </c>
      <c r="D3753" s="3016">
        <v>0</v>
      </c>
      <c r="E3753" s="3017">
        <v>0</v>
      </c>
      <c r="F3753" s="3018">
        <v>0</v>
      </c>
      <c r="G3753" s="3019">
        <v>0</v>
      </c>
    </row>
    <row r="3754" spans="1:7" x14ac:dyDescent="0.3">
      <c r="A3754" s="11" t="s">
        <v>6354</v>
      </c>
      <c r="B3754" s="11" t="s">
        <v>6356</v>
      </c>
      <c r="C3754" s="3020">
        <v>7515</v>
      </c>
      <c r="D3754" s="3020">
        <v>667513070.14617801</v>
      </c>
      <c r="E3754" s="3021">
        <v>0</v>
      </c>
      <c r="F3754" s="3022">
        <v>100</v>
      </c>
      <c r="G3754" s="3023">
        <v>0</v>
      </c>
    </row>
    <row r="3755" spans="1:7" x14ac:dyDescent="0.3">
      <c r="A3755" s="3449" t="s">
        <v>793</v>
      </c>
      <c r="B3755" s="3450"/>
      <c r="C3755" s="3450"/>
      <c r="D3755" s="3450"/>
      <c r="E3755" s="3450"/>
      <c r="F3755" s="3450"/>
      <c r="G3755" s="3450"/>
    </row>
    <row r="3756" spans="1:7" x14ac:dyDescent="0.3">
      <c r="A3756" s="11" t="s">
        <v>1019</v>
      </c>
      <c r="B3756" s="11" t="s">
        <v>1020</v>
      </c>
      <c r="C3756" s="3028">
        <v>7515</v>
      </c>
      <c r="D3756" s="3028">
        <v>667513070.14617801</v>
      </c>
      <c r="E3756" s="3029">
        <v>23529830.745542798</v>
      </c>
      <c r="F3756" s="3030">
        <v>100</v>
      </c>
      <c r="G3756" s="3031">
        <v>0</v>
      </c>
    </row>
    <row r="3757" spans="1:7" x14ac:dyDescent="0.3">
      <c r="A3757" s="6" t="s">
        <v>6354</v>
      </c>
      <c r="B3757" s="6" t="s">
        <v>6355</v>
      </c>
      <c r="C3757" s="3024">
        <v>0</v>
      </c>
      <c r="D3757" s="3024">
        <v>0</v>
      </c>
      <c r="E3757" s="3025">
        <v>0</v>
      </c>
      <c r="F3757" s="3026">
        <v>0</v>
      </c>
      <c r="G3757" s="3027">
        <v>0</v>
      </c>
    </row>
    <row r="3758" spans="1:7" x14ac:dyDescent="0.3">
      <c r="A3758" s="11" t="s">
        <v>6354</v>
      </c>
      <c r="B3758" s="11" t="s">
        <v>6356</v>
      </c>
      <c r="C3758" s="3028">
        <v>7515</v>
      </c>
      <c r="D3758" s="3028">
        <v>667513070.14617801</v>
      </c>
      <c r="E3758" s="3029">
        <v>0</v>
      </c>
      <c r="F3758" s="3030">
        <v>100</v>
      </c>
      <c r="G3758" s="3031">
        <v>0</v>
      </c>
    </row>
    <row r="3759" spans="1:7" x14ac:dyDescent="0.3">
      <c r="A3759" s="3449" t="s">
        <v>795</v>
      </c>
      <c r="B3759" s="3450"/>
      <c r="C3759" s="3450"/>
      <c r="D3759" s="3450"/>
      <c r="E3759" s="3450"/>
      <c r="F3759" s="3450"/>
      <c r="G3759" s="3450"/>
    </row>
    <row r="3760" spans="1:7" x14ac:dyDescent="0.3">
      <c r="A3760" s="11" t="s">
        <v>1019</v>
      </c>
      <c r="B3760" s="11" t="s">
        <v>1020</v>
      </c>
      <c r="C3760" s="3036">
        <v>7515</v>
      </c>
      <c r="D3760" s="3036">
        <v>667513070.14617801</v>
      </c>
      <c r="E3760" s="3037">
        <v>23529830.745542798</v>
      </c>
      <c r="F3760" s="3038">
        <v>100</v>
      </c>
      <c r="G3760" s="3039">
        <v>0</v>
      </c>
    </row>
    <row r="3761" spans="1:7" x14ac:dyDescent="0.3">
      <c r="A3761" s="6" t="s">
        <v>6354</v>
      </c>
      <c r="B3761" s="6" t="s">
        <v>6355</v>
      </c>
      <c r="C3761" s="3032">
        <v>0</v>
      </c>
      <c r="D3761" s="3032">
        <v>0</v>
      </c>
      <c r="E3761" s="3033">
        <v>0</v>
      </c>
      <c r="F3761" s="3034">
        <v>0</v>
      </c>
      <c r="G3761" s="3035">
        <v>0</v>
      </c>
    </row>
    <row r="3762" spans="1:7" x14ac:dyDescent="0.3">
      <c r="A3762" s="11" t="s">
        <v>6354</v>
      </c>
      <c r="B3762" s="11" t="s">
        <v>6356</v>
      </c>
      <c r="C3762" s="3036">
        <v>7515</v>
      </c>
      <c r="D3762" s="3036">
        <v>667513070.14617801</v>
      </c>
      <c r="E3762" s="3037">
        <v>0</v>
      </c>
      <c r="F3762" s="3038">
        <v>100</v>
      </c>
      <c r="G3762" s="3039">
        <v>0</v>
      </c>
    </row>
    <row r="3763" spans="1:7" x14ac:dyDescent="0.3">
      <c r="A3763" s="3449" t="s">
        <v>759</v>
      </c>
      <c r="B3763" s="3450"/>
      <c r="C3763" s="3450"/>
      <c r="D3763" s="3450"/>
      <c r="E3763" s="3450"/>
      <c r="F3763" s="3450"/>
      <c r="G3763" s="3450"/>
    </row>
    <row r="3764" spans="1:7" x14ac:dyDescent="0.3">
      <c r="A3764" s="11" t="s">
        <v>1019</v>
      </c>
      <c r="B3764" s="11" t="s">
        <v>1020</v>
      </c>
      <c r="C3764" s="3044">
        <v>7515</v>
      </c>
      <c r="D3764" s="3044">
        <v>667513070.14617801</v>
      </c>
      <c r="E3764" s="3045">
        <v>23529830.745542798</v>
      </c>
      <c r="F3764" s="3046">
        <v>100</v>
      </c>
      <c r="G3764" s="3047">
        <v>0</v>
      </c>
    </row>
    <row r="3765" spans="1:7" x14ac:dyDescent="0.3">
      <c r="A3765" s="6" t="s">
        <v>6354</v>
      </c>
      <c r="B3765" s="6" t="s">
        <v>6355</v>
      </c>
      <c r="C3765" s="3040">
        <v>0</v>
      </c>
      <c r="D3765" s="3040">
        <v>0</v>
      </c>
      <c r="E3765" s="3041">
        <v>0</v>
      </c>
      <c r="F3765" s="3042">
        <v>0</v>
      </c>
      <c r="G3765" s="3043">
        <v>0</v>
      </c>
    </row>
    <row r="3766" spans="1:7" x14ac:dyDescent="0.3">
      <c r="A3766" s="11" t="s">
        <v>6354</v>
      </c>
      <c r="B3766" s="11" t="s">
        <v>6356</v>
      </c>
      <c r="C3766" s="3044">
        <v>7515</v>
      </c>
      <c r="D3766" s="3044">
        <v>667513070.14617801</v>
      </c>
      <c r="E3766" s="3045">
        <v>0</v>
      </c>
      <c r="F3766" s="3046">
        <v>100</v>
      </c>
      <c r="G3766" s="3047">
        <v>0</v>
      </c>
    </row>
    <row r="3767" spans="1:7" x14ac:dyDescent="0.3">
      <c r="A3767" s="3449" t="s">
        <v>761</v>
      </c>
      <c r="B3767" s="3450"/>
      <c r="C3767" s="3450"/>
      <c r="D3767" s="3450"/>
      <c r="E3767" s="3450"/>
      <c r="F3767" s="3450"/>
      <c r="G3767" s="3450"/>
    </row>
    <row r="3768" spans="1:7" x14ac:dyDescent="0.3">
      <c r="A3768" s="11" t="s">
        <v>1065</v>
      </c>
      <c r="B3768" s="11" t="s">
        <v>6144</v>
      </c>
      <c r="C3768" s="3052">
        <v>6</v>
      </c>
      <c r="D3768" s="3052">
        <v>1358519.40380696</v>
      </c>
      <c r="E3768" s="3053">
        <v>1448459.0385674899</v>
      </c>
      <c r="F3768" s="3054">
        <v>100</v>
      </c>
      <c r="G3768" s="3055" t="e">
        <v>#NUM!</v>
      </c>
    </row>
    <row r="3769" spans="1:7" x14ac:dyDescent="0.3">
      <c r="A3769" s="6" t="s">
        <v>1019</v>
      </c>
      <c r="B3769" s="6" t="s">
        <v>1020</v>
      </c>
      <c r="C3769" s="3048">
        <v>7509</v>
      </c>
      <c r="D3769" s="3048">
        <v>666154550.74237096</v>
      </c>
      <c r="E3769" s="3049">
        <v>24446606.322677799</v>
      </c>
      <c r="F3769" s="3050">
        <v>100</v>
      </c>
      <c r="G3769" s="3051">
        <v>0</v>
      </c>
    </row>
    <row r="3770" spans="1:7" x14ac:dyDescent="0.3">
      <c r="A3770" s="11" t="s">
        <v>6354</v>
      </c>
      <c r="B3770" s="11" t="s">
        <v>6355</v>
      </c>
      <c r="C3770" s="3052">
        <v>6</v>
      </c>
      <c r="D3770" s="3052">
        <v>1358519.40380696</v>
      </c>
      <c r="E3770" s="3053">
        <v>1448459.0385674899</v>
      </c>
      <c r="F3770" s="3054">
        <v>0.20351952112480101</v>
      </c>
      <c r="G3770" s="3055">
        <v>0.21778457141857999</v>
      </c>
    </row>
    <row r="3771" spans="1:7" x14ac:dyDescent="0.3">
      <c r="A3771" s="6" t="s">
        <v>6354</v>
      </c>
      <c r="B3771" s="6" t="s">
        <v>6356</v>
      </c>
      <c r="C3771" s="3048">
        <v>7515</v>
      </c>
      <c r="D3771" s="3048">
        <v>667513070.14617801</v>
      </c>
      <c r="E3771" s="3049">
        <v>0</v>
      </c>
      <c r="F3771" s="3050">
        <v>100</v>
      </c>
      <c r="G3771" s="3051">
        <v>0</v>
      </c>
    </row>
    <row r="3772" spans="1:7" x14ac:dyDescent="0.3">
      <c r="A3772" s="3449" t="s">
        <v>763</v>
      </c>
      <c r="B3772" s="3450"/>
      <c r="C3772" s="3450"/>
      <c r="D3772" s="3450"/>
      <c r="E3772" s="3450"/>
      <c r="F3772" s="3450"/>
      <c r="G3772" s="3450"/>
    </row>
    <row r="3773" spans="1:7" x14ac:dyDescent="0.3">
      <c r="A3773" s="11" t="s">
        <v>1019</v>
      </c>
      <c r="B3773" s="11" t="s">
        <v>1020</v>
      </c>
      <c r="C3773" s="3060">
        <v>7515</v>
      </c>
      <c r="D3773" s="3060">
        <v>667513070.14617801</v>
      </c>
      <c r="E3773" s="3061">
        <v>23529830.745542798</v>
      </c>
      <c r="F3773" s="3062">
        <v>100</v>
      </c>
      <c r="G3773" s="3063">
        <v>0</v>
      </c>
    </row>
    <row r="3774" spans="1:7" x14ac:dyDescent="0.3">
      <c r="A3774" s="6" t="s">
        <v>6354</v>
      </c>
      <c r="B3774" s="6" t="s">
        <v>6355</v>
      </c>
      <c r="C3774" s="3056">
        <v>0</v>
      </c>
      <c r="D3774" s="3056">
        <v>0</v>
      </c>
      <c r="E3774" s="3057">
        <v>0</v>
      </c>
      <c r="F3774" s="3058">
        <v>0</v>
      </c>
      <c r="G3774" s="3059">
        <v>0</v>
      </c>
    </row>
    <row r="3775" spans="1:7" x14ac:dyDescent="0.3">
      <c r="A3775" s="11" t="s">
        <v>6354</v>
      </c>
      <c r="B3775" s="11" t="s">
        <v>6356</v>
      </c>
      <c r="C3775" s="3060">
        <v>7515</v>
      </c>
      <c r="D3775" s="3060">
        <v>667513070.14617801</v>
      </c>
      <c r="E3775" s="3061">
        <v>0</v>
      </c>
      <c r="F3775" s="3062">
        <v>100</v>
      </c>
      <c r="G3775" s="3063">
        <v>0</v>
      </c>
    </row>
    <row r="3776" spans="1:7" x14ac:dyDescent="0.3">
      <c r="A3776" s="3449" t="s">
        <v>765</v>
      </c>
      <c r="B3776" s="3450"/>
      <c r="C3776" s="3450"/>
      <c r="D3776" s="3450"/>
      <c r="E3776" s="3450"/>
      <c r="F3776" s="3450"/>
      <c r="G3776" s="3450"/>
    </row>
    <row r="3777" spans="1:7" x14ac:dyDescent="0.3">
      <c r="A3777" s="11" t="s">
        <v>1069</v>
      </c>
      <c r="B3777" s="11" t="s">
        <v>6145</v>
      </c>
      <c r="C3777" s="3068">
        <v>2</v>
      </c>
      <c r="D3777" s="3068">
        <v>327820.61262692203</v>
      </c>
      <c r="E3777" s="3069">
        <v>324200.54949244298</v>
      </c>
      <c r="F3777" s="3070">
        <v>100</v>
      </c>
      <c r="G3777" s="3071" t="e">
        <v>#NUM!</v>
      </c>
    </row>
    <row r="3778" spans="1:7" x14ac:dyDescent="0.3">
      <c r="A3778" s="6" t="s">
        <v>1019</v>
      </c>
      <c r="B3778" s="6" t="s">
        <v>1020</v>
      </c>
      <c r="C3778" s="3064">
        <v>7513</v>
      </c>
      <c r="D3778" s="3064">
        <v>667185249.53355098</v>
      </c>
      <c r="E3778" s="3065">
        <v>23440138.761275802</v>
      </c>
      <c r="F3778" s="3066">
        <v>100</v>
      </c>
      <c r="G3778" s="3067">
        <v>0</v>
      </c>
    </row>
    <row r="3779" spans="1:7" x14ac:dyDescent="0.3">
      <c r="A3779" s="11" t="s">
        <v>6354</v>
      </c>
      <c r="B3779" s="11" t="s">
        <v>6355</v>
      </c>
      <c r="C3779" s="3068">
        <v>2</v>
      </c>
      <c r="D3779" s="3068">
        <v>327820.61262692203</v>
      </c>
      <c r="E3779" s="3069">
        <v>324200.54949244298</v>
      </c>
      <c r="F3779" s="3070">
        <v>4.91107406413979E-2</v>
      </c>
      <c r="G3779" s="3071">
        <v>4.8761077035526797E-2</v>
      </c>
    </row>
    <row r="3780" spans="1:7" x14ac:dyDescent="0.3">
      <c r="A3780" s="6" t="s">
        <v>6354</v>
      </c>
      <c r="B3780" s="6" t="s">
        <v>6356</v>
      </c>
      <c r="C3780" s="3064">
        <v>7515</v>
      </c>
      <c r="D3780" s="3064">
        <v>667513070.14617801</v>
      </c>
      <c r="E3780" s="3065">
        <v>0</v>
      </c>
      <c r="F3780" s="3066">
        <v>100</v>
      </c>
      <c r="G3780" s="3067">
        <v>0</v>
      </c>
    </row>
    <row r="3781" spans="1:7" x14ac:dyDescent="0.3">
      <c r="A3781" s="3449" t="s">
        <v>767</v>
      </c>
      <c r="B3781" s="3450"/>
      <c r="C3781" s="3450"/>
      <c r="D3781" s="3450"/>
      <c r="E3781" s="3450"/>
      <c r="F3781" s="3450"/>
      <c r="G3781" s="3450"/>
    </row>
    <row r="3782" spans="1:7" x14ac:dyDescent="0.3">
      <c r="A3782" s="11" t="s">
        <v>1019</v>
      </c>
      <c r="B3782" s="11" t="s">
        <v>1020</v>
      </c>
      <c r="C3782" s="3076">
        <v>7515</v>
      </c>
      <c r="D3782" s="3076">
        <v>667513070.14617801</v>
      </c>
      <c r="E3782" s="3077">
        <v>23529830.745542798</v>
      </c>
      <c r="F3782" s="3078">
        <v>100</v>
      </c>
      <c r="G3782" s="3079">
        <v>0</v>
      </c>
    </row>
    <row r="3783" spans="1:7" x14ac:dyDescent="0.3">
      <c r="A3783" s="6" t="s">
        <v>6354</v>
      </c>
      <c r="B3783" s="6" t="s">
        <v>6355</v>
      </c>
      <c r="C3783" s="3072">
        <v>0</v>
      </c>
      <c r="D3783" s="3072">
        <v>0</v>
      </c>
      <c r="E3783" s="3073">
        <v>0</v>
      </c>
      <c r="F3783" s="3074">
        <v>0</v>
      </c>
      <c r="G3783" s="3075">
        <v>0</v>
      </c>
    </row>
    <row r="3784" spans="1:7" x14ac:dyDescent="0.3">
      <c r="A3784" s="11" t="s">
        <v>6354</v>
      </c>
      <c r="B3784" s="11" t="s">
        <v>6356</v>
      </c>
      <c r="C3784" s="3076">
        <v>7515</v>
      </c>
      <c r="D3784" s="3076">
        <v>667513070.14617801</v>
      </c>
      <c r="E3784" s="3077">
        <v>0</v>
      </c>
      <c r="F3784" s="3078">
        <v>100</v>
      </c>
      <c r="G3784" s="3079">
        <v>0</v>
      </c>
    </row>
    <row r="3785" spans="1:7" x14ac:dyDescent="0.3">
      <c r="A3785" s="3449" t="s">
        <v>769</v>
      </c>
      <c r="B3785" s="3450"/>
      <c r="C3785" s="3450"/>
      <c r="D3785" s="3450"/>
      <c r="E3785" s="3450"/>
      <c r="F3785" s="3450"/>
      <c r="G3785" s="3450"/>
    </row>
    <row r="3786" spans="1:7" x14ac:dyDescent="0.3">
      <c r="A3786" s="11" t="s">
        <v>1019</v>
      </c>
      <c r="B3786" s="11" t="s">
        <v>1020</v>
      </c>
      <c r="C3786" s="3084">
        <v>7515</v>
      </c>
      <c r="D3786" s="3084">
        <v>667513070.14617801</v>
      </c>
      <c r="E3786" s="3085">
        <v>23529830.745542798</v>
      </c>
      <c r="F3786" s="3086">
        <v>100</v>
      </c>
      <c r="G3786" s="3087">
        <v>0</v>
      </c>
    </row>
    <row r="3787" spans="1:7" x14ac:dyDescent="0.3">
      <c r="A3787" s="6" t="s">
        <v>6354</v>
      </c>
      <c r="B3787" s="6" t="s">
        <v>6355</v>
      </c>
      <c r="C3787" s="3080">
        <v>0</v>
      </c>
      <c r="D3787" s="3080">
        <v>0</v>
      </c>
      <c r="E3787" s="3081">
        <v>0</v>
      </c>
      <c r="F3787" s="3082">
        <v>0</v>
      </c>
      <c r="G3787" s="3083">
        <v>0</v>
      </c>
    </row>
    <row r="3788" spans="1:7" x14ac:dyDescent="0.3">
      <c r="A3788" s="11" t="s">
        <v>6354</v>
      </c>
      <c r="B3788" s="11" t="s">
        <v>6356</v>
      </c>
      <c r="C3788" s="3084">
        <v>7515</v>
      </c>
      <c r="D3788" s="3084">
        <v>667513070.14617801</v>
      </c>
      <c r="E3788" s="3085">
        <v>0</v>
      </c>
      <c r="F3788" s="3086">
        <v>100</v>
      </c>
      <c r="G3788" s="3087">
        <v>0</v>
      </c>
    </row>
    <row r="3789" spans="1:7" x14ac:dyDescent="0.3">
      <c r="A3789" s="3449" t="s">
        <v>771</v>
      </c>
      <c r="B3789" s="3450"/>
      <c r="C3789" s="3450"/>
      <c r="D3789" s="3450"/>
      <c r="E3789" s="3450"/>
      <c r="F3789" s="3450"/>
      <c r="G3789" s="3450"/>
    </row>
    <row r="3790" spans="1:7" x14ac:dyDescent="0.3">
      <c r="A3790" s="11" t="s">
        <v>1019</v>
      </c>
      <c r="B3790" s="11" t="s">
        <v>1020</v>
      </c>
      <c r="C3790" s="3092">
        <v>7515</v>
      </c>
      <c r="D3790" s="3092">
        <v>667513070.14617801</v>
      </c>
      <c r="E3790" s="3093">
        <v>23529830.745542798</v>
      </c>
      <c r="F3790" s="3094">
        <v>100</v>
      </c>
      <c r="G3790" s="3095">
        <v>0</v>
      </c>
    </row>
    <row r="3791" spans="1:7" x14ac:dyDescent="0.3">
      <c r="A3791" s="6" t="s">
        <v>6354</v>
      </c>
      <c r="B3791" s="6" t="s">
        <v>6355</v>
      </c>
      <c r="C3791" s="3088">
        <v>0</v>
      </c>
      <c r="D3791" s="3088">
        <v>0</v>
      </c>
      <c r="E3791" s="3089">
        <v>0</v>
      </c>
      <c r="F3791" s="3090">
        <v>0</v>
      </c>
      <c r="G3791" s="3091">
        <v>0</v>
      </c>
    </row>
    <row r="3792" spans="1:7" x14ac:dyDescent="0.3">
      <c r="A3792" s="11" t="s">
        <v>6354</v>
      </c>
      <c r="B3792" s="11" t="s">
        <v>6356</v>
      </c>
      <c r="C3792" s="3092">
        <v>7515</v>
      </c>
      <c r="D3792" s="3092">
        <v>667513070.14617801</v>
      </c>
      <c r="E3792" s="3093">
        <v>0</v>
      </c>
      <c r="F3792" s="3094">
        <v>100</v>
      </c>
      <c r="G3792" s="3095">
        <v>0</v>
      </c>
    </row>
    <row r="3793" spans="1:7" x14ac:dyDescent="0.3">
      <c r="A3793" s="3449" t="s">
        <v>773</v>
      </c>
      <c r="B3793" s="3450"/>
      <c r="C3793" s="3450"/>
      <c r="D3793" s="3450"/>
      <c r="E3793" s="3450"/>
      <c r="F3793" s="3450"/>
      <c r="G3793" s="3450"/>
    </row>
    <row r="3794" spans="1:7" x14ac:dyDescent="0.3">
      <c r="A3794" s="11" t="s">
        <v>1077</v>
      </c>
      <c r="B3794" s="11" t="s">
        <v>6129</v>
      </c>
      <c r="C3794" s="3100">
        <v>3</v>
      </c>
      <c r="D3794" s="3100">
        <v>112243.05286966699</v>
      </c>
      <c r="E3794" s="3101">
        <v>115432.011942809</v>
      </c>
      <c r="F3794" s="3102">
        <v>100</v>
      </c>
      <c r="G3794" s="3103" t="e">
        <v>#NUM!</v>
      </c>
    </row>
    <row r="3795" spans="1:7" x14ac:dyDescent="0.3">
      <c r="A3795" s="6" t="s">
        <v>1019</v>
      </c>
      <c r="B3795" s="6" t="s">
        <v>1020</v>
      </c>
      <c r="C3795" s="3096">
        <v>7512</v>
      </c>
      <c r="D3795" s="3096">
        <v>667400827.09330797</v>
      </c>
      <c r="E3795" s="3097">
        <v>23619063.100706801</v>
      </c>
      <c r="F3795" s="3098">
        <v>100</v>
      </c>
      <c r="G3795" s="3099">
        <v>0</v>
      </c>
    </row>
    <row r="3796" spans="1:7" x14ac:dyDescent="0.3">
      <c r="A3796" s="11" t="s">
        <v>6354</v>
      </c>
      <c r="B3796" s="11" t="s">
        <v>6355</v>
      </c>
      <c r="C3796" s="3100">
        <v>3</v>
      </c>
      <c r="D3796" s="3100">
        <v>112243.05286966699</v>
      </c>
      <c r="E3796" s="3101">
        <v>115432.011942809</v>
      </c>
      <c r="F3796" s="3102">
        <v>1.68151093798189E-2</v>
      </c>
      <c r="G3796" s="3103">
        <v>1.7472105672137E-2</v>
      </c>
    </row>
    <row r="3797" spans="1:7" x14ac:dyDescent="0.3">
      <c r="A3797" s="6" t="s">
        <v>6354</v>
      </c>
      <c r="B3797" s="6" t="s">
        <v>6356</v>
      </c>
      <c r="C3797" s="3096">
        <v>7515</v>
      </c>
      <c r="D3797" s="3096">
        <v>667513070.14617801</v>
      </c>
      <c r="E3797" s="3097">
        <v>0</v>
      </c>
      <c r="F3797" s="3098">
        <v>100</v>
      </c>
      <c r="G3797" s="3099">
        <v>0</v>
      </c>
    </row>
    <row r="3798" spans="1:7" x14ac:dyDescent="0.3">
      <c r="A3798" s="3449" t="s">
        <v>775</v>
      </c>
      <c r="B3798" s="3450"/>
      <c r="C3798" s="3450"/>
      <c r="D3798" s="3450"/>
      <c r="E3798" s="3450"/>
      <c r="F3798" s="3450"/>
      <c r="G3798" s="3450"/>
    </row>
    <row r="3799" spans="1:7" x14ac:dyDescent="0.3">
      <c r="A3799" s="11" t="s">
        <v>1019</v>
      </c>
      <c r="B3799" s="11" t="s">
        <v>1020</v>
      </c>
      <c r="C3799" s="3108">
        <v>7515</v>
      </c>
      <c r="D3799" s="3108">
        <v>667513070.14617801</v>
      </c>
      <c r="E3799" s="3109">
        <v>23529830.745542798</v>
      </c>
      <c r="F3799" s="3110">
        <v>100</v>
      </c>
      <c r="G3799" s="3111">
        <v>0</v>
      </c>
    </row>
    <row r="3800" spans="1:7" x14ac:dyDescent="0.3">
      <c r="A3800" s="6" t="s">
        <v>6354</v>
      </c>
      <c r="B3800" s="6" t="s">
        <v>6355</v>
      </c>
      <c r="C3800" s="3104">
        <v>0</v>
      </c>
      <c r="D3800" s="3104">
        <v>0</v>
      </c>
      <c r="E3800" s="3105">
        <v>0</v>
      </c>
      <c r="F3800" s="3106">
        <v>0</v>
      </c>
      <c r="G3800" s="3107">
        <v>0</v>
      </c>
    </row>
    <row r="3801" spans="1:7" x14ac:dyDescent="0.3">
      <c r="A3801" s="11" t="s">
        <v>6354</v>
      </c>
      <c r="B3801" s="11" t="s">
        <v>6356</v>
      </c>
      <c r="C3801" s="3108">
        <v>7515</v>
      </c>
      <c r="D3801" s="3108">
        <v>667513070.14617801</v>
      </c>
      <c r="E3801" s="3109">
        <v>0</v>
      </c>
      <c r="F3801" s="3110">
        <v>100</v>
      </c>
      <c r="G3801" s="3111">
        <v>0</v>
      </c>
    </row>
    <row r="3802" spans="1:7" x14ac:dyDescent="0.3">
      <c r="A3802" s="3449" t="s">
        <v>777</v>
      </c>
      <c r="B3802" s="3450"/>
      <c r="C3802" s="3450"/>
      <c r="D3802" s="3450"/>
      <c r="E3802" s="3450"/>
      <c r="F3802" s="3450"/>
      <c r="G3802" s="3450"/>
    </row>
    <row r="3803" spans="1:7" x14ac:dyDescent="0.3">
      <c r="A3803" s="11" t="s">
        <v>1081</v>
      </c>
      <c r="B3803" s="11" t="s">
        <v>6131</v>
      </c>
      <c r="C3803" s="3116">
        <v>1</v>
      </c>
      <c r="D3803" s="3116">
        <v>54110.163119045101</v>
      </c>
      <c r="E3803" s="3117">
        <v>56143.888252984201</v>
      </c>
      <c r="F3803" s="3118">
        <v>100</v>
      </c>
      <c r="G3803" s="3119" t="e">
        <v>#NUM!</v>
      </c>
    </row>
    <row r="3804" spans="1:7" x14ac:dyDescent="0.3">
      <c r="A3804" s="6" t="s">
        <v>1019</v>
      </c>
      <c r="B3804" s="6" t="s">
        <v>1020</v>
      </c>
      <c r="C3804" s="3112">
        <v>7514</v>
      </c>
      <c r="D3804" s="3112">
        <v>667458959.98305905</v>
      </c>
      <c r="E3804" s="3113">
        <v>23539089.420990501</v>
      </c>
      <c r="F3804" s="3114">
        <v>100</v>
      </c>
      <c r="G3804" s="3115">
        <v>0</v>
      </c>
    </row>
    <row r="3805" spans="1:7" x14ac:dyDescent="0.3">
      <c r="A3805" s="11" t="s">
        <v>6354</v>
      </c>
      <c r="B3805" s="11" t="s">
        <v>6355</v>
      </c>
      <c r="C3805" s="3116">
        <v>1</v>
      </c>
      <c r="D3805" s="3116">
        <v>54110.163119045101</v>
      </c>
      <c r="E3805" s="3117">
        <v>56143.888252984201</v>
      </c>
      <c r="F3805" s="3118">
        <v>8.1062327524456697E-3</v>
      </c>
      <c r="G3805" s="3119">
        <v>8.4822658467539596E-3</v>
      </c>
    </row>
    <row r="3806" spans="1:7" x14ac:dyDescent="0.3">
      <c r="A3806" s="6" t="s">
        <v>6354</v>
      </c>
      <c r="B3806" s="6" t="s">
        <v>6356</v>
      </c>
      <c r="C3806" s="3112">
        <v>7515</v>
      </c>
      <c r="D3806" s="3112">
        <v>667513070.14617801</v>
      </c>
      <c r="E3806" s="3113">
        <v>0</v>
      </c>
      <c r="F3806" s="3114">
        <v>100</v>
      </c>
      <c r="G3806" s="3115">
        <v>0</v>
      </c>
    </row>
    <row r="3807" spans="1:7" x14ac:dyDescent="0.3">
      <c r="A3807" s="3449" t="s">
        <v>781</v>
      </c>
      <c r="B3807" s="3450"/>
      <c r="C3807" s="3450"/>
      <c r="D3807" s="3450"/>
      <c r="E3807" s="3450"/>
      <c r="F3807" s="3450"/>
      <c r="G3807" s="3450"/>
    </row>
    <row r="3808" spans="1:7" x14ac:dyDescent="0.3">
      <c r="A3808" s="11" t="s">
        <v>1019</v>
      </c>
      <c r="B3808" s="11" t="s">
        <v>1020</v>
      </c>
      <c r="C3808" s="3124">
        <v>7515</v>
      </c>
      <c r="D3808" s="3124">
        <v>667513070.14617801</v>
      </c>
      <c r="E3808" s="3125">
        <v>23529830.745542798</v>
      </c>
      <c r="F3808" s="3126">
        <v>100</v>
      </c>
      <c r="G3808" s="3127">
        <v>0</v>
      </c>
    </row>
    <row r="3809" spans="1:7" x14ac:dyDescent="0.3">
      <c r="A3809" s="6" t="s">
        <v>6354</v>
      </c>
      <c r="B3809" s="6" t="s">
        <v>6355</v>
      </c>
      <c r="C3809" s="3120">
        <v>0</v>
      </c>
      <c r="D3809" s="3120">
        <v>0</v>
      </c>
      <c r="E3809" s="3121">
        <v>0</v>
      </c>
      <c r="F3809" s="3122">
        <v>0</v>
      </c>
      <c r="G3809" s="3123">
        <v>0</v>
      </c>
    </row>
    <row r="3810" spans="1:7" x14ac:dyDescent="0.3">
      <c r="A3810" s="11" t="s">
        <v>6354</v>
      </c>
      <c r="B3810" s="11" t="s">
        <v>6356</v>
      </c>
      <c r="C3810" s="3124">
        <v>7515</v>
      </c>
      <c r="D3810" s="3124">
        <v>667513070.14617801</v>
      </c>
      <c r="E3810" s="3125">
        <v>0</v>
      </c>
      <c r="F3810" s="3126">
        <v>100</v>
      </c>
      <c r="G3810" s="3127">
        <v>0</v>
      </c>
    </row>
    <row r="3811" spans="1:7" x14ac:dyDescent="0.3">
      <c r="A3811" s="3449" t="s">
        <v>799</v>
      </c>
      <c r="B3811" s="3450"/>
      <c r="C3811" s="3450"/>
      <c r="D3811" s="3450"/>
      <c r="E3811" s="3450"/>
      <c r="F3811" s="3450"/>
      <c r="G3811" s="3450"/>
    </row>
    <row r="3812" spans="1:7" x14ac:dyDescent="0.3">
      <c r="A3812" s="11" t="s">
        <v>1052</v>
      </c>
      <c r="B3812" s="11" t="s">
        <v>1053</v>
      </c>
      <c r="C3812" s="3132">
        <v>1</v>
      </c>
      <c r="D3812" s="3132">
        <v>163910.30631346101</v>
      </c>
      <c r="E3812" s="3133">
        <v>162100.27474622201</v>
      </c>
      <c r="F3812" s="3134">
        <v>100</v>
      </c>
      <c r="G3812" s="3135" t="e">
        <v>#NUM!</v>
      </c>
    </row>
    <row r="3813" spans="1:7" x14ac:dyDescent="0.3">
      <c r="A3813" s="6" t="s">
        <v>1019</v>
      </c>
      <c r="B3813" s="6" t="s">
        <v>1020</v>
      </c>
      <c r="C3813" s="3128">
        <v>7514</v>
      </c>
      <c r="D3813" s="3128">
        <v>667349159.83986402</v>
      </c>
      <c r="E3813" s="3129">
        <v>23484468.133892301</v>
      </c>
      <c r="F3813" s="3130">
        <v>100</v>
      </c>
      <c r="G3813" s="3131">
        <v>0</v>
      </c>
    </row>
    <row r="3814" spans="1:7" x14ac:dyDescent="0.3">
      <c r="A3814" s="11" t="s">
        <v>6354</v>
      </c>
      <c r="B3814" s="11" t="s">
        <v>6355</v>
      </c>
      <c r="C3814" s="3132">
        <v>1</v>
      </c>
      <c r="D3814" s="3132">
        <v>163910.30631346101</v>
      </c>
      <c r="E3814" s="3133">
        <v>162100.27474622201</v>
      </c>
      <c r="F3814" s="3134">
        <v>2.4555370320698999E-2</v>
      </c>
      <c r="G3814" s="3135">
        <v>2.4380538517763398E-2</v>
      </c>
    </row>
    <row r="3815" spans="1:7" x14ac:dyDescent="0.3">
      <c r="A3815" s="6" t="s">
        <v>6354</v>
      </c>
      <c r="B3815" s="6" t="s">
        <v>6356</v>
      </c>
      <c r="C3815" s="3128">
        <v>7515</v>
      </c>
      <c r="D3815" s="3128">
        <v>667513070.14617801</v>
      </c>
      <c r="E3815" s="3129">
        <v>0</v>
      </c>
      <c r="F3815" s="3130">
        <v>100</v>
      </c>
      <c r="G3815" s="3131">
        <v>0</v>
      </c>
    </row>
    <row r="3816" spans="1:7" x14ac:dyDescent="0.3">
      <c r="A3816" s="3449" t="s">
        <v>797</v>
      </c>
      <c r="B3816" s="3450"/>
      <c r="C3816" s="3450"/>
      <c r="D3816" s="3450"/>
      <c r="E3816" s="3450"/>
      <c r="F3816" s="3450"/>
      <c r="G3816" s="3450"/>
    </row>
    <row r="3817" spans="1:7" x14ac:dyDescent="0.3">
      <c r="A3817" s="11" t="s">
        <v>1019</v>
      </c>
      <c r="B3817" s="11" t="s">
        <v>1020</v>
      </c>
      <c r="C3817" s="3140">
        <v>7515</v>
      </c>
      <c r="D3817" s="3140">
        <v>667513070.14617801</v>
      </c>
      <c r="E3817" s="3141">
        <v>23529830.745542798</v>
      </c>
      <c r="F3817" s="3142">
        <v>100</v>
      </c>
      <c r="G3817" s="3143">
        <v>0</v>
      </c>
    </row>
    <row r="3818" spans="1:7" x14ac:dyDescent="0.3">
      <c r="A3818" s="6" t="s">
        <v>6354</v>
      </c>
      <c r="B3818" s="6" t="s">
        <v>6355</v>
      </c>
      <c r="C3818" s="3136">
        <v>0</v>
      </c>
      <c r="D3818" s="3136">
        <v>0</v>
      </c>
      <c r="E3818" s="3137">
        <v>0</v>
      </c>
      <c r="F3818" s="3138">
        <v>0</v>
      </c>
      <c r="G3818" s="3139">
        <v>0</v>
      </c>
    </row>
    <row r="3819" spans="1:7" x14ac:dyDescent="0.3">
      <c r="A3819" s="11" t="s">
        <v>6354</v>
      </c>
      <c r="B3819" s="11" t="s">
        <v>6356</v>
      </c>
      <c r="C3819" s="3140">
        <v>7515</v>
      </c>
      <c r="D3819" s="3140">
        <v>667513070.14617801</v>
      </c>
      <c r="E3819" s="3141">
        <v>0</v>
      </c>
      <c r="F3819" s="3142">
        <v>100</v>
      </c>
      <c r="G3819" s="3143">
        <v>0</v>
      </c>
    </row>
    <row r="3820" spans="1:7" x14ac:dyDescent="0.3">
      <c r="A3820" s="3449" t="s">
        <v>801</v>
      </c>
      <c r="B3820" s="3450"/>
      <c r="C3820" s="3450"/>
      <c r="D3820" s="3450"/>
      <c r="E3820" s="3450"/>
      <c r="F3820" s="3450"/>
      <c r="G3820" s="3450"/>
    </row>
    <row r="3821" spans="1:7" x14ac:dyDescent="0.3">
      <c r="A3821" s="11" t="s">
        <v>1019</v>
      </c>
      <c r="B3821" s="11" t="s">
        <v>1020</v>
      </c>
      <c r="C3821" s="3148">
        <v>7515</v>
      </c>
      <c r="D3821" s="3148">
        <v>667513070.14617801</v>
      </c>
      <c r="E3821" s="3149">
        <v>23529830.745542798</v>
      </c>
      <c r="F3821" s="3150">
        <v>100</v>
      </c>
      <c r="G3821" s="3151">
        <v>0</v>
      </c>
    </row>
    <row r="3822" spans="1:7" x14ac:dyDescent="0.3">
      <c r="A3822" s="6" t="s">
        <v>6354</v>
      </c>
      <c r="B3822" s="6" t="s">
        <v>6355</v>
      </c>
      <c r="C3822" s="3144">
        <v>0</v>
      </c>
      <c r="D3822" s="3144">
        <v>0</v>
      </c>
      <c r="E3822" s="3145">
        <v>0</v>
      </c>
      <c r="F3822" s="3146">
        <v>0</v>
      </c>
      <c r="G3822" s="3147">
        <v>0</v>
      </c>
    </row>
    <row r="3823" spans="1:7" x14ac:dyDescent="0.3">
      <c r="A3823" s="11" t="s">
        <v>6354</v>
      </c>
      <c r="B3823" s="11" t="s">
        <v>6356</v>
      </c>
      <c r="C3823" s="3148">
        <v>7515</v>
      </c>
      <c r="D3823" s="3148">
        <v>667513070.14617801</v>
      </c>
      <c r="E3823" s="3149">
        <v>0</v>
      </c>
      <c r="F3823" s="3150">
        <v>100</v>
      </c>
      <c r="G3823" s="3151">
        <v>0</v>
      </c>
    </row>
    <row r="3824" spans="1:7" x14ac:dyDescent="0.3">
      <c r="A3824" s="3449" t="s">
        <v>322</v>
      </c>
      <c r="B3824" s="3450"/>
      <c r="C3824" s="3450"/>
      <c r="D3824" s="3450"/>
      <c r="E3824" s="3450"/>
      <c r="F3824" s="3450"/>
      <c r="G3824" s="3450"/>
    </row>
    <row r="3825" spans="1:7" x14ac:dyDescent="0.3">
      <c r="A3825" s="11" t="s">
        <v>6623</v>
      </c>
      <c r="B3825" s="11"/>
      <c r="C3825" s="3156">
        <v>1</v>
      </c>
      <c r="D3825" s="3156">
        <v>163910.30631346101</v>
      </c>
      <c r="E3825" s="3157">
        <v>162100.27474622201</v>
      </c>
      <c r="F3825" s="3158">
        <v>100</v>
      </c>
      <c r="G3825" s="3159" t="e">
        <v>#NUM!</v>
      </c>
    </row>
    <row r="3826" spans="1:7" x14ac:dyDescent="0.3">
      <c r="A3826" s="6" t="s">
        <v>1019</v>
      </c>
      <c r="B3826" s="6" t="s">
        <v>1020</v>
      </c>
      <c r="C3826" s="3152">
        <v>7514</v>
      </c>
      <c r="D3826" s="3152">
        <v>667349159.83986402</v>
      </c>
      <c r="E3826" s="3153">
        <v>23484468.133892301</v>
      </c>
      <c r="F3826" s="3154">
        <v>100</v>
      </c>
      <c r="G3826" s="3155">
        <v>0</v>
      </c>
    </row>
    <row r="3827" spans="1:7" x14ac:dyDescent="0.3">
      <c r="A3827" s="11" t="s">
        <v>6354</v>
      </c>
      <c r="B3827" s="11" t="s">
        <v>6355</v>
      </c>
      <c r="C3827" s="3156">
        <v>1</v>
      </c>
      <c r="D3827" s="3156">
        <v>163910.30631346101</v>
      </c>
      <c r="E3827" s="3157">
        <v>162100.27474622201</v>
      </c>
      <c r="F3827" s="3158">
        <v>2.4555370320698999E-2</v>
      </c>
      <c r="G3827" s="3159">
        <v>2.4380538517763398E-2</v>
      </c>
    </row>
    <row r="3828" spans="1:7" x14ac:dyDescent="0.3">
      <c r="A3828" s="6" t="s">
        <v>6354</v>
      </c>
      <c r="B3828" s="6" t="s">
        <v>6356</v>
      </c>
      <c r="C3828" s="3152">
        <v>7515</v>
      </c>
      <c r="D3828" s="3152">
        <v>667513070.14617801</v>
      </c>
      <c r="E3828" s="3153">
        <v>0</v>
      </c>
      <c r="F3828" s="3154">
        <v>100</v>
      </c>
      <c r="G3828" s="3155">
        <v>0</v>
      </c>
    </row>
    <row r="3829" spans="1:7" x14ac:dyDescent="0.3">
      <c r="A3829" s="3449" t="s">
        <v>482</v>
      </c>
      <c r="B3829" s="3450"/>
      <c r="C3829" s="3450"/>
      <c r="D3829" s="3450"/>
      <c r="E3829" s="3450"/>
      <c r="F3829" s="3450"/>
      <c r="G3829" s="3450"/>
    </row>
    <row r="3830" spans="1:7" x14ac:dyDescent="0.3">
      <c r="A3830" s="11" t="s">
        <v>1021</v>
      </c>
      <c r="B3830" s="11" t="s">
        <v>1106</v>
      </c>
      <c r="C3830" s="3164">
        <v>5395</v>
      </c>
      <c r="D3830" s="3164">
        <v>437192482.97564602</v>
      </c>
      <c r="E3830" s="3165">
        <v>10959390.4419811</v>
      </c>
      <c r="F3830" s="3166">
        <v>65.495718739994999</v>
      </c>
      <c r="G3830" s="3167">
        <v>1.7940538447188099</v>
      </c>
    </row>
    <row r="3831" spans="1:7" x14ac:dyDescent="0.3">
      <c r="A3831" s="6" t="s">
        <v>1023</v>
      </c>
      <c r="B3831" s="6" t="s">
        <v>1107</v>
      </c>
      <c r="C3831" s="3160">
        <v>2120</v>
      </c>
      <c r="D3831" s="3160">
        <v>230320587.17053199</v>
      </c>
      <c r="E3831" s="3161">
        <v>18771742.479045302</v>
      </c>
      <c r="F3831" s="3162">
        <v>34.504281260005001</v>
      </c>
      <c r="G3831" s="3163">
        <v>1.7940538447188099</v>
      </c>
    </row>
    <row r="3832" spans="1:7" x14ac:dyDescent="0.3">
      <c r="A3832" s="11" t="s">
        <v>6354</v>
      </c>
      <c r="B3832" s="11" t="s">
        <v>6355</v>
      </c>
      <c r="C3832" s="3164">
        <v>7515</v>
      </c>
      <c r="D3832" s="3164">
        <v>667513070.14617801</v>
      </c>
      <c r="E3832" s="3165">
        <v>23529830.7455431</v>
      </c>
      <c r="F3832" s="3166">
        <v>100</v>
      </c>
      <c r="G3832" s="3167">
        <v>1.78031750616652E-14</v>
      </c>
    </row>
    <row r="3833" spans="1:7" x14ac:dyDescent="0.3">
      <c r="A3833" s="6" t="s">
        <v>6354</v>
      </c>
      <c r="B3833" s="6" t="s">
        <v>6356</v>
      </c>
      <c r="C3833" s="3160">
        <v>7515</v>
      </c>
      <c r="D3833" s="3160">
        <v>667513070.14617801</v>
      </c>
      <c r="E3833" s="3161">
        <v>0</v>
      </c>
      <c r="F3833" s="3162">
        <v>100</v>
      </c>
      <c r="G3833" s="3163">
        <v>0</v>
      </c>
    </row>
    <row r="3834" spans="1:7" x14ac:dyDescent="0.3">
      <c r="A3834" s="3449" t="s">
        <v>496</v>
      </c>
      <c r="B3834" s="3450"/>
      <c r="C3834" s="3450"/>
      <c r="D3834" s="3450"/>
      <c r="E3834" s="3450"/>
      <c r="F3834" s="3450"/>
      <c r="G3834" s="3450"/>
    </row>
    <row r="3835" spans="1:7" x14ac:dyDescent="0.3">
      <c r="A3835" s="11" t="s">
        <v>1023</v>
      </c>
      <c r="B3835" s="11" t="s">
        <v>1107</v>
      </c>
      <c r="C3835" s="3172">
        <v>2932</v>
      </c>
      <c r="D3835" s="3172">
        <v>300534541.72530699</v>
      </c>
      <c r="E3835" s="3173">
        <v>11707110.2156248</v>
      </c>
      <c r="F3835" s="3174">
        <v>51.748443834444402</v>
      </c>
      <c r="G3835" s="3175">
        <v>1.5841003336419699</v>
      </c>
    </row>
    <row r="3836" spans="1:7" x14ac:dyDescent="0.3">
      <c r="A3836" s="6" t="s">
        <v>1021</v>
      </c>
      <c r="B3836" s="6" t="s">
        <v>1106</v>
      </c>
      <c r="C3836" s="3168">
        <v>3322</v>
      </c>
      <c r="D3836" s="3168">
        <v>280225998.025006</v>
      </c>
      <c r="E3836" s="3169">
        <v>17218907.201745901</v>
      </c>
      <c r="F3836" s="3170">
        <v>48.251556165555598</v>
      </c>
      <c r="G3836" s="3171">
        <v>1.5841003336419801</v>
      </c>
    </row>
    <row r="3837" spans="1:7" x14ac:dyDescent="0.3">
      <c r="A3837" s="11" t="s">
        <v>1019</v>
      </c>
      <c r="B3837" s="11" t="s">
        <v>1020</v>
      </c>
      <c r="C3837" s="3172">
        <v>1261</v>
      </c>
      <c r="D3837" s="3172">
        <v>86752530.395868197</v>
      </c>
      <c r="E3837" s="3173">
        <v>5578916.10469326</v>
      </c>
      <c r="F3837" s="3174">
        <v>100</v>
      </c>
      <c r="G3837" s="3175">
        <v>0</v>
      </c>
    </row>
    <row r="3838" spans="1:7" x14ac:dyDescent="0.3">
      <c r="A3838" s="6" t="s">
        <v>6354</v>
      </c>
      <c r="B3838" s="6" t="s">
        <v>6355</v>
      </c>
      <c r="C3838" s="3168">
        <v>6254</v>
      </c>
      <c r="D3838" s="3168">
        <v>580760539.75031304</v>
      </c>
      <c r="E3838" s="3169">
        <v>23276426.663600001</v>
      </c>
      <c r="F3838" s="3170">
        <v>87.003620711596</v>
      </c>
      <c r="G3838" s="3171">
        <v>0.88738240236058097</v>
      </c>
    </row>
    <row r="3839" spans="1:7" x14ac:dyDescent="0.3">
      <c r="A3839" s="11" t="s">
        <v>6354</v>
      </c>
      <c r="B3839" s="11" t="s">
        <v>6356</v>
      </c>
      <c r="C3839" s="3172">
        <v>7515</v>
      </c>
      <c r="D3839" s="3172">
        <v>667513070.14618099</v>
      </c>
      <c r="E3839" s="3173">
        <v>0</v>
      </c>
      <c r="F3839" s="3174">
        <v>100</v>
      </c>
      <c r="G3839" s="3175">
        <v>0</v>
      </c>
    </row>
    <row r="3840" spans="1:7" x14ac:dyDescent="0.3">
      <c r="A3840" s="3449" t="s">
        <v>498</v>
      </c>
      <c r="B3840" s="3450"/>
      <c r="C3840" s="3450"/>
      <c r="D3840" s="3450"/>
      <c r="E3840" s="3450"/>
      <c r="F3840" s="3450"/>
      <c r="G3840" s="3450"/>
    </row>
    <row r="3841" spans="1:7" x14ac:dyDescent="0.3">
      <c r="A3841" s="11" t="s">
        <v>1023</v>
      </c>
      <c r="B3841" s="11" t="s">
        <v>1107</v>
      </c>
      <c r="C3841" s="3180">
        <v>1728</v>
      </c>
      <c r="D3841" s="3180">
        <v>210365545.27204201</v>
      </c>
      <c r="E3841" s="3181">
        <v>12953372.843668601</v>
      </c>
      <c r="F3841" s="3182">
        <v>57.315087050117597</v>
      </c>
      <c r="G3841" s="3183">
        <v>2.89545201995257</v>
      </c>
    </row>
    <row r="3842" spans="1:7" x14ac:dyDescent="0.3">
      <c r="A3842" s="6" t="s">
        <v>1021</v>
      </c>
      <c r="B3842" s="6" t="s">
        <v>1106</v>
      </c>
      <c r="C3842" s="3176">
        <v>1402</v>
      </c>
      <c r="D3842" s="3176">
        <v>156667911.53505301</v>
      </c>
      <c r="E3842" s="3177">
        <v>21918877.015044499</v>
      </c>
      <c r="F3842" s="3178">
        <v>42.684912949882403</v>
      </c>
      <c r="G3842" s="3179">
        <v>2.89545201995257</v>
      </c>
    </row>
    <row r="3843" spans="1:7" x14ac:dyDescent="0.3">
      <c r="A3843" s="11" t="s">
        <v>1019</v>
      </c>
      <c r="B3843" s="11" t="s">
        <v>1020</v>
      </c>
      <c r="C3843" s="3180">
        <v>4385</v>
      </c>
      <c r="D3843" s="3180">
        <v>300479613.339086</v>
      </c>
      <c r="E3843" s="3181">
        <v>16579453.0496065</v>
      </c>
      <c r="F3843" s="3182">
        <v>100</v>
      </c>
      <c r="G3843" s="3183">
        <v>0</v>
      </c>
    </row>
    <row r="3844" spans="1:7" x14ac:dyDescent="0.3">
      <c r="A3844" s="6" t="s">
        <v>6354</v>
      </c>
      <c r="B3844" s="6" t="s">
        <v>6355</v>
      </c>
      <c r="C3844" s="3176">
        <v>3130</v>
      </c>
      <c r="D3844" s="3176">
        <v>367033456.80709499</v>
      </c>
      <c r="E3844" s="3177">
        <v>30304027.996789899</v>
      </c>
      <c r="F3844" s="3178">
        <v>54.985209012718997</v>
      </c>
      <c r="G3844" s="3179">
        <v>3.0954399908184</v>
      </c>
    </row>
    <row r="3845" spans="1:7" x14ac:dyDescent="0.3">
      <c r="A3845" s="11" t="s">
        <v>6354</v>
      </c>
      <c r="B3845" s="11" t="s">
        <v>6356</v>
      </c>
      <c r="C3845" s="3180">
        <v>7515</v>
      </c>
      <c r="D3845" s="3180">
        <v>667513070.14618099</v>
      </c>
      <c r="E3845" s="3181">
        <v>0</v>
      </c>
      <c r="F3845" s="3182">
        <v>100</v>
      </c>
      <c r="G3845" s="3183">
        <v>0</v>
      </c>
    </row>
    <row r="3846" spans="1:7" x14ac:dyDescent="0.3">
      <c r="A3846" s="3449" t="s">
        <v>500</v>
      </c>
      <c r="B3846" s="3450"/>
      <c r="C3846" s="3450"/>
      <c r="D3846" s="3450"/>
      <c r="E3846" s="3450"/>
      <c r="F3846" s="3450"/>
      <c r="G3846" s="3450"/>
    </row>
    <row r="3847" spans="1:7" x14ac:dyDescent="0.3">
      <c r="A3847" s="11" t="s">
        <v>1023</v>
      </c>
      <c r="B3847" s="11" t="s">
        <v>1107</v>
      </c>
      <c r="C3847" s="3188">
        <v>970</v>
      </c>
      <c r="D3847" s="3188">
        <v>122044616.02710301</v>
      </c>
      <c r="E3847" s="3189">
        <v>7542754.6035826597</v>
      </c>
      <c r="F3847" s="3190">
        <v>56.0999954031467</v>
      </c>
      <c r="G3847" s="3191">
        <v>2.4782945695671499</v>
      </c>
    </row>
    <row r="3848" spans="1:7" x14ac:dyDescent="0.3">
      <c r="A3848" s="6" t="s">
        <v>1021</v>
      </c>
      <c r="B3848" s="6" t="s">
        <v>1106</v>
      </c>
      <c r="C3848" s="3184">
        <v>894</v>
      </c>
      <c r="D3848" s="3184">
        <v>95503736.963060305</v>
      </c>
      <c r="E3848" s="3185">
        <v>13514543.127250601</v>
      </c>
      <c r="F3848" s="3186">
        <v>43.9000045968533</v>
      </c>
      <c r="G3848" s="3187">
        <v>2.4782945695671601</v>
      </c>
    </row>
    <row r="3849" spans="1:7" x14ac:dyDescent="0.3">
      <c r="A3849" s="11" t="s">
        <v>1019</v>
      </c>
      <c r="B3849" s="11" t="s">
        <v>1020</v>
      </c>
      <c r="C3849" s="3188">
        <v>5651</v>
      </c>
      <c r="D3849" s="3188">
        <v>449964717.15601599</v>
      </c>
      <c r="E3849" s="3189">
        <v>11246811.9902732</v>
      </c>
      <c r="F3849" s="3190">
        <v>100</v>
      </c>
      <c r="G3849" s="3191">
        <v>0</v>
      </c>
    </row>
    <row r="3850" spans="1:7" x14ac:dyDescent="0.3">
      <c r="A3850" s="6" t="s">
        <v>6354</v>
      </c>
      <c r="B3850" s="6" t="s">
        <v>6355</v>
      </c>
      <c r="C3850" s="3184">
        <v>1864</v>
      </c>
      <c r="D3850" s="3184">
        <v>217548352.990163</v>
      </c>
      <c r="E3850" s="3185">
        <v>19914538.829487801</v>
      </c>
      <c r="F3850" s="3186">
        <v>32.590875403012298</v>
      </c>
      <c r="G3850" s="3187">
        <v>2.0501924801636302</v>
      </c>
    </row>
    <row r="3851" spans="1:7" x14ac:dyDescent="0.3">
      <c r="A3851" s="11" t="s">
        <v>6354</v>
      </c>
      <c r="B3851" s="11" t="s">
        <v>6356</v>
      </c>
      <c r="C3851" s="3188">
        <v>7515</v>
      </c>
      <c r="D3851" s="3188">
        <v>667513070.14617896</v>
      </c>
      <c r="E3851" s="3189">
        <v>0</v>
      </c>
      <c r="F3851" s="3190">
        <v>100</v>
      </c>
      <c r="G3851" s="3191">
        <v>0</v>
      </c>
    </row>
    <row r="3852" spans="1:7" x14ac:dyDescent="0.3">
      <c r="A3852" s="3449" t="s">
        <v>502</v>
      </c>
      <c r="B3852" s="3450"/>
      <c r="C3852" s="3450"/>
      <c r="D3852" s="3450"/>
      <c r="E3852" s="3450"/>
      <c r="F3852" s="3450"/>
      <c r="G3852" s="3450"/>
    </row>
    <row r="3853" spans="1:7" x14ac:dyDescent="0.3">
      <c r="A3853" s="11" t="s">
        <v>1023</v>
      </c>
      <c r="B3853" s="11" t="s">
        <v>1107</v>
      </c>
      <c r="C3853" s="3196">
        <v>424</v>
      </c>
      <c r="D3853" s="3196">
        <v>51871969.043389</v>
      </c>
      <c r="E3853" s="3197">
        <v>8627738.9284438491</v>
      </c>
      <c r="F3853" s="3198">
        <v>57.853011067969902</v>
      </c>
      <c r="G3853" s="3199">
        <v>2.9436127288621998</v>
      </c>
    </row>
    <row r="3854" spans="1:7" x14ac:dyDescent="0.3">
      <c r="A3854" s="6" t="s">
        <v>1021</v>
      </c>
      <c r="B3854" s="6" t="s">
        <v>1106</v>
      </c>
      <c r="C3854" s="3192">
        <v>402</v>
      </c>
      <c r="D3854" s="3192">
        <v>37789689.158715703</v>
      </c>
      <c r="E3854" s="3193">
        <v>5559928.5596019197</v>
      </c>
      <c r="F3854" s="3194">
        <v>42.146988932030098</v>
      </c>
      <c r="G3854" s="3195">
        <v>2.9436127288621998</v>
      </c>
    </row>
    <row r="3855" spans="1:7" x14ac:dyDescent="0.3">
      <c r="A3855" s="11" t="s">
        <v>1019</v>
      </c>
      <c r="B3855" s="11" t="s">
        <v>1020</v>
      </c>
      <c r="C3855" s="3196">
        <v>6689</v>
      </c>
      <c r="D3855" s="3196">
        <v>577851411.94407403</v>
      </c>
      <c r="E3855" s="3197">
        <v>26451647.912056301</v>
      </c>
      <c r="F3855" s="3198">
        <v>100</v>
      </c>
      <c r="G3855" s="3199">
        <v>0</v>
      </c>
    </row>
    <row r="3856" spans="1:7" x14ac:dyDescent="0.3">
      <c r="A3856" s="6" t="s">
        <v>6354</v>
      </c>
      <c r="B3856" s="6" t="s">
        <v>6355</v>
      </c>
      <c r="C3856" s="3192">
        <v>826</v>
      </c>
      <c r="D3856" s="3192">
        <v>89661658.202104703</v>
      </c>
      <c r="E3856" s="3193">
        <v>13144594.325833401</v>
      </c>
      <c r="F3856" s="3194">
        <v>13.4321951452531</v>
      </c>
      <c r="G3856" s="3195">
        <v>2.0165976411867499</v>
      </c>
    </row>
    <row r="3857" spans="1:7" x14ac:dyDescent="0.3">
      <c r="A3857" s="11" t="s">
        <v>6354</v>
      </c>
      <c r="B3857" s="11" t="s">
        <v>6356</v>
      </c>
      <c r="C3857" s="3196">
        <v>7515</v>
      </c>
      <c r="D3857" s="3196">
        <v>667513070.14617896</v>
      </c>
      <c r="E3857" s="3197">
        <v>0</v>
      </c>
      <c r="F3857" s="3198">
        <v>100</v>
      </c>
      <c r="G3857" s="3199">
        <v>0</v>
      </c>
    </row>
    <row r="3858" spans="1:7" x14ac:dyDescent="0.3">
      <c r="A3858" s="3449" t="s">
        <v>504</v>
      </c>
      <c r="B3858" s="3450"/>
      <c r="C3858" s="3450"/>
      <c r="D3858" s="3450"/>
      <c r="E3858" s="3450"/>
      <c r="F3858" s="3450"/>
      <c r="G3858" s="3450"/>
    </row>
    <row r="3859" spans="1:7" x14ac:dyDescent="0.3">
      <c r="A3859" s="11" t="s">
        <v>1023</v>
      </c>
      <c r="B3859" s="11" t="s">
        <v>1107</v>
      </c>
      <c r="C3859" s="3204">
        <v>156</v>
      </c>
      <c r="D3859" s="3204">
        <v>18464336.791861001</v>
      </c>
      <c r="E3859" s="3205">
        <v>6212276.3856300302</v>
      </c>
      <c r="F3859" s="3206">
        <v>67.347784401260199</v>
      </c>
      <c r="G3859" s="3207">
        <v>11.3209944633512</v>
      </c>
    </row>
    <row r="3860" spans="1:7" x14ac:dyDescent="0.3">
      <c r="A3860" s="6" t="s">
        <v>1021</v>
      </c>
      <c r="B3860" s="6" t="s">
        <v>1106</v>
      </c>
      <c r="C3860" s="3200">
        <v>80</v>
      </c>
      <c r="D3860" s="3200">
        <v>8952061.4698099196</v>
      </c>
      <c r="E3860" s="3201">
        <v>4441410.7518813498</v>
      </c>
      <c r="F3860" s="3202">
        <v>32.652215598739801</v>
      </c>
      <c r="G3860" s="3203">
        <v>11.3209944633512</v>
      </c>
    </row>
    <row r="3861" spans="1:7" x14ac:dyDescent="0.3">
      <c r="A3861" s="11" t="s">
        <v>1019</v>
      </c>
      <c r="B3861" s="11" t="s">
        <v>1020</v>
      </c>
      <c r="C3861" s="3204">
        <v>7279</v>
      </c>
      <c r="D3861" s="3204">
        <v>640096671.88450503</v>
      </c>
      <c r="E3861" s="3205">
        <v>28218430.555183802</v>
      </c>
      <c r="F3861" s="3206">
        <v>100</v>
      </c>
      <c r="G3861" s="3207">
        <v>0</v>
      </c>
    </row>
    <row r="3862" spans="1:7" x14ac:dyDescent="0.3">
      <c r="A3862" s="6" t="s">
        <v>6354</v>
      </c>
      <c r="B3862" s="6" t="s">
        <v>6355</v>
      </c>
      <c r="C3862" s="3200">
        <v>236</v>
      </c>
      <c r="D3862" s="3200">
        <v>27416398.261670899</v>
      </c>
      <c r="E3862" s="3201">
        <v>9342206.3215559404</v>
      </c>
      <c r="F3862" s="3202">
        <v>4.1072451593595201</v>
      </c>
      <c r="G3862" s="3203">
        <v>1.4531834470651199</v>
      </c>
    </row>
    <row r="3863" spans="1:7" x14ac:dyDescent="0.3">
      <c r="A3863" s="11" t="s">
        <v>6354</v>
      </c>
      <c r="B3863" s="11" t="s">
        <v>6356</v>
      </c>
      <c r="C3863" s="3204">
        <v>7515</v>
      </c>
      <c r="D3863" s="3204">
        <v>667513070.14617503</v>
      </c>
      <c r="E3863" s="3205">
        <v>0</v>
      </c>
      <c r="F3863" s="3206">
        <v>100</v>
      </c>
      <c r="G3863" s="3207">
        <v>0</v>
      </c>
    </row>
    <row r="3864" spans="1:7" x14ac:dyDescent="0.3">
      <c r="A3864" s="3449" t="s">
        <v>506</v>
      </c>
      <c r="B3864" s="3450"/>
      <c r="C3864" s="3450"/>
      <c r="D3864" s="3450"/>
      <c r="E3864" s="3450"/>
      <c r="F3864" s="3450"/>
      <c r="G3864" s="3450"/>
    </row>
    <row r="3865" spans="1:7" x14ac:dyDescent="0.3">
      <c r="A3865" s="11" t="s">
        <v>1021</v>
      </c>
      <c r="B3865" s="11" t="s">
        <v>1106</v>
      </c>
      <c r="C3865" s="3212">
        <v>30</v>
      </c>
      <c r="D3865" s="3212">
        <v>5162427.0922732595</v>
      </c>
      <c r="E3865" s="3213">
        <v>4902743.6885246299</v>
      </c>
      <c r="F3865" s="3214">
        <v>52.5721745313543</v>
      </c>
      <c r="G3865" s="3215">
        <v>37.418788540884002</v>
      </c>
    </row>
    <row r="3866" spans="1:7" x14ac:dyDescent="0.3">
      <c r="A3866" s="6" t="s">
        <v>1023</v>
      </c>
      <c r="B3866" s="6" t="s">
        <v>1107</v>
      </c>
      <c r="C3866" s="3208">
        <v>56</v>
      </c>
      <c r="D3866" s="3208">
        <v>4657267.7145191804</v>
      </c>
      <c r="E3866" s="3209">
        <v>3346903.1578759998</v>
      </c>
      <c r="F3866" s="3210">
        <v>47.4278254686457</v>
      </c>
      <c r="G3866" s="3211">
        <v>37.418788540884002</v>
      </c>
    </row>
    <row r="3867" spans="1:7" x14ac:dyDescent="0.3">
      <c r="A3867" s="11" t="s">
        <v>1019</v>
      </c>
      <c r="B3867" s="11" t="s">
        <v>1020</v>
      </c>
      <c r="C3867" s="3212">
        <v>7429</v>
      </c>
      <c r="D3867" s="3212">
        <v>657693375.33938503</v>
      </c>
      <c r="E3867" s="3213">
        <v>28573058.748057399</v>
      </c>
      <c r="F3867" s="3214">
        <v>100</v>
      </c>
      <c r="G3867" s="3215">
        <v>0</v>
      </c>
    </row>
    <row r="3868" spans="1:7" x14ac:dyDescent="0.3">
      <c r="A3868" s="6" t="s">
        <v>6354</v>
      </c>
      <c r="B3868" s="6" t="s">
        <v>6355</v>
      </c>
      <c r="C3868" s="3208">
        <v>86</v>
      </c>
      <c r="D3868" s="3208">
        <v>9819694.8067924399</v>
      </c>
      <c r="E3868" s="3209">
        <v>8176759.5886645596</v>
      </c>
      <c r="F3868" s="3210">
        <v>1.4710865218926801</v>
      </c>
      <c r="G3868" s="3211">
        <v>1.2271124620929501</v>
      </c>
    </row>
    <row r="3869" spans="1:7" x14ac:dyDescent="0.3">
      <c r="A3869" s="11" t="s">
        <v>6354</v>
      </c>
      <c r="B3869" s="11" t="s">
        <v>6356</v>
      </c>
      <c r="C3869" s="3212">
        <v>7515</v>
      </c>
      <c r="D3869" s="3212">
        <v>667513070.14617705</v>
      </c>
      <c r="E3869" s="3213">
        <v>0</v>
      </c>
      <c r="F3869" s="3214">
        <v>100</v>
      </c>
      <c r="G3869" s="3215">
        <v>0</v>
      </c>
    </row>
    <row r="3870" spans="1:7" x14ac:dyDescent="0.3">
      <c r="A3870" s="3449" t="s">
        <v>508</v>
      </c>
      <c r="B3870" s="3450"/>
      <c r="C3870" s="3450"/>
      <c r="D3870" s="3450"/>
      <c r="E3870" s="3450"/>
      <c r="F3870" s="3450"/>
      <c r="G3870" s="3450"/>
    </row>
    <row r="3871" spans="1:7" x14ac:dyDescent="0.3">
      <c r="A3871" s="11" t="s">
        <v>1023</v>
      </c>
      <c r="B3871" s="11" t="s">
        <v>1107</v>
      </c>
      <c r="C3871" s="3220">
        <v>7</v>
      </c>
      <c r="D3871" s="3220">
        <v>286183.94142403902</v>
      </c>
      <c r="E3871" s="3221">
        <v>300190.59857205098</v>
      </c>
      <c r="F3871" s="3222">
        <v>76.046721087213299</v>
      </c>
      <c r="G3871" s="3223" t="e">
        <v>#NUM!</v>
      </c>
    </row>
    <row r="3872" spans="1:7" x14ac:dyDescent="0.3">
      <c r="A3872" s="6" t="s">
        <v>1021</v>
      </c>
      <c r="B3872" s="6" t="s">
        <v>1106</v>
      </c>
      <c r="C3872" s="3216">
        <v>2</v>
      </c>
      <c r="D3872" s="3216">
        <v>90142.5291095586</v>
      </c>
      <c r="E3872" s="3217">
        <v>92265.509668347993</v>
      </c>
      <c r="F3872" s="3218">
        <v>23.953278912786701</v>
      </c>
      <c r="G3872" s="3219" t="e">
        <v>#NUM!</v>
      </c>
    </row>
    <row r="3873" spans="1:7" x14ac:dyDescent="0.3">
      <c r="A3873" s="11" t="s">
        <v>1019</v>
      </c>
      <c r="B3873" s="11" t="s">
        <v>1020</v>
      </c>
      <c r="C3873" s="3220">
        <v>7506</v>
      </c>
      <c r="D3873" s="3220">
        <v>667136743.67564499</v>
      </c>
      <c r="E3873" s="3221">
        <v>23358325.6287468</v>
      </c>
      <c r="F3873" s="3222">
        <v>100</v>
      </c>
      <c r="G3873" s="3223">
        <v>0</v>
      </c>
    </row>
    <row r="3874" spans="1:7" x14ac:dyDescent="0.3">
      <c r="A3874" s="6" t="s">
        <v>6354</v>
      </c>
      <c r="B3874" s="6" t="s">
        <v>6355</v>
      </c>
      <c r="C3874" s="3216">
        <v>9</v>
      </c>
      <c r="D3874" s="3216">
        <v>376326.47053359798</v>
      </c>
      <c r="E3874" s="3217">
        <v>392232.852855807</v>
      </c>
      <c r="F3874" s="3218">
        <v>5.6377393546943697E-2</v>
      </c>
      <c r="G3874" s="3219">
        <v>5.8527689274545998E-2</v>
      </c>
    </row>
    <row r="3875" spans="1:7" x14ac:dyDescent="0.3">
      <c r="A3875" s="11" t="s">
        <v>6354</v>
      </c>
      <c r="B3875" s="11" t="s">
        <v>6356</v>
      </c>
      <c r="C3875" s="3220">
        <v>7515</v>
      </c>
      <c r="D3875" s="3220">
        <v>667513070.14617801</v>
      </c>
      <c r="E3875" s="3221">
        <v>0</v>
      </c>
      <c r="F3875" s="3222">
        <v>100</v>
      </c>
      <c r="G3875" s="3223">
        <v>0</v>
      </c>
    </row>
    <row r="3876" spans="1:7" x14ac:dyDescent="0.3">
      <c r="A3876" s="3449" t="s">
        <v>510</v>
      </c>
      <c r="B3876" s="3450"/>
      <c r="C3876" s="3450"/>
      <c r="D3876" s="3450"/>
      <c r="E3876" s="3450"/>
      <c r="F3876" s="3450"/>
      <c r="G3876" s="3450"/>
    </row>
    <row r="3877" spans="1:7" x14ac:dyDescent="0.3">
      <c r="A3877" s="11" t="s">
        <v>1019</v>
      </c>
      <c r="B3877" s="11" t="s">
        <v>1020</v>
      </c>
      <c r="C3877" s="3228">
        <v>7515</v>
      </c>
      <c r="D3877" s="3228">
        <v>667513070.14617801</v>
      </c>
      <c r="E3877" s="3229">
        <v>23529830.745542798</v>
      </c>
      <c r="F3877" s="3230">
        <v>100</v>
      </c>
      <c r="G3877" s="3231">
        <v>0</v>
      </c>
    </row>
    <row r="3878" spans="1:7" x14ac:dyDescent="0.3">
      <c r="A3878" s="6" t="s">
        <v>6354</v>
      </c>
      <c r="B3878" s="6" t="s">
        <v>6355</v>
      </c>
      <c r="C3878" s="3224">
        <v>0</v>
      </c>
      <c r="D3878" s="3224">
        <v>0</v>
      </c>
      <c r="E3878" s="3225">
        <v>0</v>
      </c>
      <c r="F3878" s="3226">
        <v>0</v>
      </c>
      <c r="G3878" s="3227">
        <v>0</v>
      </c>
    </row>
    <row r="3879" spans="1:7" x14ac:dyDescent="0.3">
      <c r="A3879" s="11" t="s">
        <v>6354</v>
      </c>
      <c r="B3879" s="11" t="s">
        <v>6356</v>
      </c>
      <c r="C3879" s="3228">
        <v>7515</v>
      </c>
      <c r="D3879" s="3228">
        <v>667513070.14617801</v>
      </c>
      <c r="E3879" s="3229">
        <v>0</v>
      </c>
      <c r="F3879" s="3230">
        <v>100</v>
      </c>
      <c r="G3879" s="3231">
        <v>0</v>
      </c>
    </row>
    <row r="3880" spans="1:7" x14ac:dyDescent="0.3">
      <c r="A3880" s="3449" t="s">
        <v>484</v>
      </c>
      <c r="B3880" s="3450"/>
      <c r="C3880" s="3450"/>
      <c r="D3880" s="3450"/>
      <c r="E3880" s="3450"/>
      <c r="F3880" s="3450"/>
      <c r="G3880" s="3450"/>
    </row>
    <row r="3881" spans="1:7" x14ac:dyDescent="0.3">
      <c r="A3881" s="11" t="s">
        <v>1019</v>
      </c>
      <c r="B3881" s="11" t="s">
        <v>1020</v>
      </c>
      <c r="C3881" s="3236">
        <v>7515</v>
      </c>
      <c r="D3881" s="3236">
        <v>667513070.14617801</v>
      </c>
      <c r="E3881" s="3237">
        <v>23529830.745542798</v>
      </c>
      <c r="F3881" s="3238">
        <v>100</v>
      </c>
      <c r="G3881" s="3239">
        <v>0</v>
      </c>
    </row>
    <row r="3882" spans="1:7" x14ac:dyDescent="0.3">
      <c r="A3882" s="6" t="s">
        <v>6354</v>
      </c>
      <c r="B3882" s="6" t="s">
        <v>6355</v>
      </c>
      <c r="C3882" s="3232">
        <v>0</v>
      </c>
      <c r="D3882" s="3232">
        <v>0</v>
      </c>
      <c r="E3882" s="3233">
        <v>0</v>
      </c>
      <c r="F3882" s="3234">
        <v>0</v>
      </c>
      <c r="G3882" s="3235">
        <v>0</v>
      </c>
    </row>
    <row r="3883" spans="1:7" x14ac:dyDescent="0.3">
      <c r="A3883" s="11" t="s">
        <v>6354</v>
      </c>
      <c r="B3883" s="11" t="s">
        <v>6356</v>
      </c>
      <c r="C3883" s="3236">
        <v>7515</v>
      </c>
      <c r="D3883" s="3236">
        <v>667513070.14617801</v>
      </c>
      <c r="E3883" s="3237">
        <v>0</v>
      </c>
      <c r="F3883" s="3238">
        <v>100</v>
      </c>
      <c r="G3883" s="3239">
        <v>0</v>
      </c>
    </row>
    <row r="3884" spans="1:7" x14ac:dyDescent="0.3">
      <c r="A3884" s="3449" t="s">
        <v>486</v>
      </c>
      <c r="B3884" s="3450"/>
      <c r="C3884" s="3450"/>
      <c r="D3884" s="3450"/>
      <c r="E3884" s="3450"/>
      <c r="F3884" s="3450"/>
      <c r="G3884" s="3450"/>
    </row>
    <row r="3885" spans="1:7" x14ac:dyDescent="0.3">
      <c r="A3885" s="11" t="s">
        <v>1019</v>
      </c>
      <c r="B3885" s="11" t="s">
        <v>1020</v>
      </c>
      <c r="C3885" s="3244">
        <v>7515</v>
      </c>
      <c r="D3885" s="3244">
        <v>667513070.14617801</v>
      </c>
      <c r="E3885" s="3245">
        <v>23529830.745542798</v>
      </c>
      <c r="F3885" s="3246">
        <v>100</v>
      </c>
      <c r="G3885" s="3247">
        <v>0</v>
      </c>
    </row>
    <row r="3886" spans="1:7" x14ac:dyDescent="0.3">
      <c r="A3886" s="6" t="s">
        <v>6354</v>
      </c>
      <c r="B3886" s="6" t="s">
        <v>6355</v>
      </c>
      <c r="C3886" s="3240">
        <v>0</v>
      </c>
      <c r="D3886" s="3240">
        <v>0</v>
      </c>
      <c r="E3886" s="3241">
        <v>0</v>
      </c>
      <c r="F3886" s="3242">
        <v>0</v>
      </c>
      <c r="G3886" s="3243">
        <v>0</v>
      </c>
    </row>
    <row r="3887" spans="1:7" x14ac:dyDescent="0.3">
      <c r="A3887" s="11" t="s">
        <v>6354</v>
      </c>
      <c r="B3887" s="11" t="s">
        <v>6356</v>
      </c>
      <c r="C3887" s="3244">
        <v>7515</v>
      </c>
      <c r="D3887" s="3244">
        <v>667513070.14617801</v>
      </c>
      <c r="E3887" s="3245">
        <v>0</v>
      </c>
      <c r="F3887" s="3246">
        <v>100</v>
      </c>
      <c r="G3887" s="3247">
        <v>0</v>
      </c>
    </row>
    <row r="3888" spans="1:7" x14ac:dyDescent="0.3">
      <c r="A3888" s="3449" t="s">
        <v>488</v>
      </c>
      <c r="B3888" s="3450"/>
      <c r="C3888" s="3450"/>
      <c r="D3888" s="3450"/>
      <c r="E3888" s="3450"/>
      <c r="F3888" s="3450"/>
      <c r="G3888" s="3450"/>
    </row>
    <row r="3889" spans="1:7" x14ac:dyDescent="0.3">
      <c r="A3889" s="11" t="s">
        <v>1019</v>
      </c>
      <c r="B3889" s="11" t="s">
        <v>1020</v>
      </c>
      <c r="C3889" s="3252">
        <v>7515</v>
      </c>
      <c r="D3889" s="3252">
        <v>667513070.14617801</v>
      </c>
      <c r="E3889" s="3253">
        <v>23529830.745542798</v>
      </c>
      <c r="F3889" s="3254">
        <v>100</v>
      </c>
      <c r="G3889" s="3255">
        <v>0</v>
      </c>
    </row>
    <row r="3890" spans="1:7" x14ac:dyDescent="0.3">
      <c r="A3890" s="6" t="s">
        <v>6354</v>
      </c>
      <c r="B3890" s="6" t="s">
        <v>6355</v>
      </c>
      <c r="C3890" s="3248">
        <v>0</v>
      </c>
      <c r="D3890" s="3248">
        <v>0</v>
      </c>
      <c r="E3890" s="3249">
        <v>0</v>
      </c>
      <c r="F3890" s="3250">
        <v>0</v>
      </c>
      <c r="G3890" s="3251">
        <v>0</v>
      </c>
    </row>
    <row r="3891" spans="1:7" x14ac:dyDescent="0.3">
      <c r="A3891" s="11" t="s">
        <v>6354</v>
      </c>
      <c r="B3891" s="11" t="s">
        <v>6356</v>
      </c>
      <c r="C3891" s="3252">
        <v>7515</v>
      </c>
      <c r="D3891" s="3252">
        <v>667513070.14617801</v>
      </c>
      <c r="E3891" s="3253">
        <v>0</v>
      </c>
      <c r="F3891" s="3254">
        <v>100</v>
      </c>
      <c r="G3891" s="3255">
        <v>0</v>
      </c>
    </row>
    <row r="3892" spans="1:7" x14ac:dyDescent="0.3">
      <c r="A3892" s="3449" t="s">
        <v>490</v>
      </c>
      <c r="B3892" s="3450"/>
      <c r="C3892" s="3450"/>
      <c r="D3892" s="3450"/>
      <c r="E3892" s="3450"/>
      <c r="F3892" s="3450"/>
      <c r="G3892" s="3450"/>
    </row>
    <row r="3893" spans="1:7" x14ac:dyDescent="0.3">
      <c r="A3893" s="11" t="s">
        <v>1019</v>
      </c>
      <c r="B3893" s="11" t="s">
        <v>1020</v>
      </c>
      <c r="C3893" s="3260">
        <v>7515</v>
      </c>
      <c r="D3893" s="3260">
        <v>667513070.14617801</v>
      </c>
      <c r="E3893" s="3261">
        <v>23529830.745542798</v>
      </c>
      <c r="F3893" s="3262">
        <v>100</v>
      </c>
      <c r="G3893" s="3263">
        <v>0</v>
      </c>
    </row>
    <row r="3894" spans="1:7" x14ac:dyDescent="0.3">
      <c r="A3894" s="6" t="s">
        <v>6354</v>
      </c>
      <c r="B3894" s="6" t="s">
        <v>6355</v>
      </c>
      <c r="C3894" s="3256">
        <v>0</v>
      </c>
      <c r="D3894" s="3256">
        <v>0</v>
      </c>
      <c r="E3894" s="3257">
        <v>0</v>
      </c>
      <c r="F3894" s="3258">
        <v>0</v>
      </c>
      <c r="G3894" s="3259">
        <v>0</v>
      </c>
    </row>
    <row r="3895" spans="1:7" x14ac:dyDescent="0.3">
      <c r="A3895" s="11" t="s">
        <v>6354</v>
      </c>
      <c r="B3895" s="11" t="s">
        <v>6356</v>
      </c>
      <c r="C3895" s="3260">
        <v>7515</v>
      </c>
      <c r="D3895" s="3260">
        <v>667513070.14617801</v>
      </c>
      <c r="E3895" s="3261">
        <v>0</v>
      </c>
      <c r="F3895" s="3262">
        <v>100</v>
      </c>
      <c r="G3895" s="3263">
        <v>0</v>
      </c>
    </row>
    <row r="3896" spans="1:7" x14ac:dyDescent="0.3">
      <c r="A3896" s="3449" t="s">
        <v>492</v>
      </c>
      <c r="B3896" s="3450"/>
      <c r="C3896" s="3450"/>
      <c r="D3896" s="3450"/>
      <c r="E3896" s="3450"/>
      <c r="F3896" s="3450"/>
      <c r="G3896" s="3450"/>
    </row>
    <row r="3897" spans="1:7" x14ac:dyDescent="0.3">
      <c r="A3897" s="11" t="s">
        <v>1019</v>
      </c>
      <c r="B3897" s="11" t="s">
        <v>1020</v>
      </c>
      <c r="C3897" s="3268">
        <v>7515</v>
      </c>
      <c r="D3897" s="3268">
        <v>667513070.14617801</v>
      </c>
      <c r="E3897" s="3269">
        <v>23529830.745542798</v>
      </c>
      <c r="F3897" s="3270">
        <v>100</v>
      </c>
      <c r="G3897" s="3271">
        <v>0</v>
      </c>
    </row>
    <row r="3898" spans="1:7" x14ac:dyDescent="0.3">
      <c r="A3898" s="6" t="s">
        <v>6354</v>
      </c>
      <c r="B3898" s="6" t="s">
        <v>6355</v>
      </c>
      <c r="C3898" s="3264">
        <v>0</v>
      </c>
      <c r="D3898" s="3264">
        <v>0</v>
      </c>
      <c r="E3898" s="3265">
        <v>0</v>
      </c>
      <c r="F3898" s="3266">
        <v>0</v>
      </c>
      <c r="G3898" s="3267">
        <v>0</v>
      </c>
    </row>
    <row r="3899" spans="1:7" x14ac:dyDescent="0.3">
      <c r="A3899" s="11" t="s">
        <v>6354</v>
      </c>
      <c r="B3899" s="11" t="s">
        <v>6356</v>
      </c>
      <c r="C3899" s="3268">
        <v>7515</v>
      </c>
      <c r="D3899" s="3268">
        <v>667513070.14617801</v>
      </c>
      <c r="E3899" s="3269">
        <v>0</v>
      </c>
      <c r="F3899" s="3270">
        <v>100</v>
      </c>
      <c r="G3899" s="3271">
        <v>0</v>
      </c>
    </row>
    <row r="3900" spans="1:7" x14ac:dyDescent="0.3">
      <c r="A3900" s="3449" t="s">
        <v>494</v>
      </c>
      <c r="B3900" s="3450"/>
      <c r="C3900" s="3450"/>
      <c r="D3900" s="3450"/>
      <c r="E3900" s="3450"/>
      <c r="F3900" s="3450"/>
      <c r="G3900" s="3450"/>
    </row>
    <row r="3901" spans="1:7" x14ac:dyDescent="0.3">
      <c r="A3901" s="11" t="s">
        <v>1019</v>
      </c>
      <c r="B3901" s="11" t="s">
        <v>1020</v>
      </c>
      <c r="C3901" s="3276">
        <v>7515</v>
      </c>
      <c r="D3901" s="3276">
        <v>667513070.14617801</v>
      </c>
      <c r="E3901" s="3277">
        <v>23529830.745542798</v>
      </c>
      <c r="F3901" s="3278">
        <v>100</v>
      </c>
      <c r="G3901" s="3279">
        <v>0</v>
      </c>
    </row>
    <row r="3902" spans="1:7" x14ac:dyDescent="0.3">
      <c r="A3902" s="6" t="s">
        <v>6354</v>
      </c>
      <c r="B3902" s="6" t="s">
        <v>6355</v>
      </c>
      <c r="C3902" s="3272">
        <v>0</v>
      </c>
      <c r="D3902" s="3272">
        <v>0</v>
      </c>
      <c r="E3902" s="3273">
        <v>0</v>
      </c>
      <c r="F3902" s="3274">
        <v>0</v>
      </c>
      <c r="G3902" s="3275">
        <v>0</v>
      </c>
    </row>
    <row r="3903" spans="1:7" x14ac:dyDescent="0.3">
      <c r="A3903" s="11" t="s">
        <v>6354</v>
      </c>
      <c r="B3903" s="11" t="s">
        <v>6356</v>
      </c>
      <c r="C3903" s="3276">
        <v>7515</v>
      </c>
      <c r="D3903" s="3276">
        <v>667513070.14617801</v>
      </c>
      <c r="E3903" s="3277">
        <v>0</v>
      </c>
      <c r="F3903" s="3278">
        <v>100</v>
      </c>
      <c r="G3903" s="3279">
        <v>0</v>
      </c>
    </row>
    <row r="3904" spans="1:7" x14ac:dyDescent="0.3">
      <c r="A3904" s="3449" t="s">
        <v>683</v>
      </c>
      <c r="B3904" s="3450"/>
      <c r="C3904" s="3450"/>
      <c r="D3904" s="3450"/>
      <c r="E3904" s="3450"/>
      <c r="F3904" s="3450"/>
      <c r="G3904" s="3450"/>
    </row>
    <row r="3905" spans="1:7" x14ac:dyDescent="0.3">
      <c r="A3905" s="11" t="s">
        <v>6354</v>
      </c>
      <c r="B3905" s="11" t="s">
        <v>6355</v>
      </c>
      <c r="C3905" s="3284">
        <v>6261</v>
      </c>
      <c r="D3905" s="3284">
        <v>667513070.14618003</v>
      </c>
      <c r="E3905" s="3285">
        <v>23529830.745544098</v>
      </c>
      <c r="F3905" s="3286">
        <v>100</v>
      </c>
      <c r="G3905" s="3287">
        <v>1.00709966502038E-13</v>
      </c>
    </row>
    <row r="3906" spans="1:7" x14ac:dyDescent="0.3">
      <c r="A3906" s="6" t="s">
        <v>6354</v>
      </c>
      <c r="B3906" s="6" t="s">
        <v>6356</v>
      </c>
      <c r="C3906" s="3280">
        <v>6261</v>
      </c>
      <c r="D3906" s="3280">
        <v>667513070.14618003</v>
      </c>
      <c r="E3906" s="3281">
        <v>0</v>
      </c>
      <c r="F3906" s="3282">
        <v>100</v>
      </c>
      <c r="G3906" s="3283">
        <v>0</v>
      </c>
    </row>
    <row r="3907" spans="1:7" x14ac:dyDescent="0.3">
      <c r="A3907" s="3451" t="s">
        <v>1105</v>
      </c>
      <c r="B3907" s="3450"/>
      <c r="C3907" s="3450"/>
      <c r="D3907" s="3450"/>
      <c r="E3907" s="3450"/>
      <c r="F3907" s="3450"/>
      <c r="G3907" s="3450"/>
    </row>
    <row r="3908" spans="1:7" x14ac:dyDescent="0.3">
      <c r="A3908" s="3449" t="s">
        <v>320</v>
      </c>
      <c r="B3908" s="3450"/>
      <c r="C3908" s="3450"/>
      <c r="D3908" s="3450"/>
      <c r="E3908" s="3450"/>
      <c r="F3908" s="3450"/>
      <c r="G3908" s="3450"/>
    </row>
    <row r="3909" spans="1:7" x14ac:dyDescent="0.3">
      <c r="A3909" s="11" t="s">
        <v>6354</v>
      </c>
      <c r="B3909" s="11" t="s">
        <v>6355</v>
      </c>
      <c r="C3909" s="3292">
        <v>4180</v>
      </c>
      <c r="D3909" s="3292"/>
      <c r="E3909" s="3293"/>
      <c r="F3909" s="3294"/>
      <c r="G3909" s="3295"/>
    </row>
    <row r="3910" spans="1:7" x14ac:dyDescent="0.3">
      <c r="A3910" s="6" t="s">
        <v>6354</v>
      </c>
      <c r="B3910" s="6" t="s">
        <v>6356</v>
      </c>
      <c r="C3910" s="3288">
        <v>4180</v>
      </c>
      <c r="D3910" s="3288"/>
      <c r="E3910" s="3289">
        <v>0</v>
      </c>
      <c r="F3910" s="3290">
        <v>100</v>
      </c>
      <c r="G3910" s="3291">
        <v>0</v>
      </c>
    </row>
    <row r="3911" spans="1:7" x14ac:dyDescent="0.3">
      <c r="A3911" s="3449" t="s">
        <v>397</v>
      </c>
      <c r="B3911" s="3450"/>
      <c r="C3911" s="3450"/>
      <c r="D3911" s="3450"/>
      <c r="E3911" s="3450"/>
      <c r="F3911" s="3450"/>
      <c r="G3911" s="3450"/>
    </row>
    <row r="3912" spans="1:7" x14ac:dyDescent="0.3">
      <c r="A3912" s="11" t="s">
        <v>4375</v>
      </c>
      <c r="B3912" s="11"/>
      <c r="C3912" s="3300">
        <v>1049</v>
      </c>
      <c r="D3912" s="3300"/>
      <c r="E3912" s="3301"/>
      <c r="F3912" s="3302"/>
      <c r="G3912" s="3303"/>
    </row>
    <row r="3913" spans="1:7" x14ac:dyDescent="0.3">
      <c r="A3913" s="6" t="s">
        <v>6566</v>
      </c>
      <c r="B3913" s="6"/>
      <c r="C3913" s="3296">
        <v>839</v>
      </c>
      <c r="D3913" s="3296"/>
      <c r="E3913" s="3297"/>
      <c r="F3913" s="3298"/>
      <c r="G3913" s="3299"/>
    </row>
    <row r="3914" spans="1:7" x14ac:dyDescent="0.3">
      <c r="A3914" s="11" t="s">
        <v>6567</v>
      </c>
      <c r="B3914" s="11"/>
      <c r="C3914" s="3300">
        <v>652</v>
      </c>
      <c r="D3914" s="3300"/>
      <c r="E3914" s="3301"/>
      <c r="F3914" s="3302"/>
      <c r="G3914" s="3303"/>
    </row>
    <row r="3915" spans="1:7" x14ac:dyDescent="0.3">
      <c r="A3915" s="6" t="s">
        <v>6569</v>
      </c>
      <c r="B3915" s="6"/>
      <c r="C3915" s="3296">
        <v>468</v>
      </c>
      <c r="D3915" s="3296"/>
      <c r="E3915" s="3297"/>
      <c r="F3915" s="3298"/>
      <c r="G3915" s="3299"/>
    </row>
    <row r="3916" spans="1:7" x14ac:dyDescent="0.3">
      <c r="A3916" s="11" t="s">
        <v>6571</v>
      </c>
      <c r="B3916" s="11"/>
      <c r="C3916" s="3300">
        <v>313</v>
      </c>
      <c r="D3916" s="3300"/>
      <c r="E3916" s="3301"/>
      <c r="F3916" s="3302"/>
      <c r="G3916" s="3303"/>
    </row>
    <row r="3917" spans="1:7" x14ac:dyDescent="0.3">
      <c r="A3917" s="6" t="s">
        <v>6572</v>
      </c>
      <c r="B3917" s="6"/>
      <c r="C3917" s="3296">
        <v>198</v>
      </c>
      <c r="D3917" s="3296"/>
      <c r="E3917" s="3297"/>
      <c r="F3917" s="3298"/>
      <c r="G3917" s="3299"/>
    </row>
    <row r="3918" spans="1:7" x14ac:dyDescent="0.3">
      <c r="A3918" s="11" t="s">
        <v>6574</v>
      </c>
      <c r="B3918" s="11"/>
      <c r="C3918" s="3300">
        <v>123</v>
      </c>
      <c r="D3918" s="3300"/>
      <c r="E3918" s="3301"/>
      <c r="F3918" s="3302"/>
      <c r="G3918" s="3303"/>
    </row>
    <row r="3919" spans="1:7" x14ac:dyDescent="0.3">
      <c r="A3919" s="6" t="s">
        <v>6577</v>
      </c>
      <c r="B3919" s="6"/>
      <c r="C3919" s="3296">
        <v>67</v>
      </c>
      <c r="D3919" s="3296"/>
      <c r="E3919" s="3297"/>
      <c r="F3919" s="3298"/>
      <c r="G3919" s="3299"/>
    </row>
    <row r="3920" spans="1:7" x14ac:dyDescent="0.3">
      <c r="A3920" s="11" t="s">
        <v>6578</v>
      </c>
      <c r="B3920" s="11"/>
      <c r="C3920" s="3300">
        <v>46</v>
      </c>
      <c r="D3920" s="3300"/>
      <c r="E3920" s="3301"/>
      <c r="F3920" s="3302"/>
      <c r="G3920" s="3303"/>
    </row>
    <row r="3921" spans="1:7" x14ac:dyDescent="0.3">
      <c r="A3921" s="6" t="s">
        <v>6581</v>
      </c>
      <c r="B3921" s="6"/>
      <c r="C3921" s="3296">
        <v>22</v>
      </c>
      <c r="D3921" s="3296"/>
      <c r="E3921" s="3297"/>
      <c r="F3921" s="3298"/>
      <c r="G3921" s="3299"/>
    </row>
    <row r="3922" spans="1:7" x14ac:dyDescent="0.3">
      <c r="A3922" s="11" t="s">
        <v>6583</v>
      </c>
      <c r="B3922" s="11"/>
      <c r="C3922" s="3300">
        <v>15</v>
      </c>
      <c r="D3922" s="3300"/>
      <c r="E3922" s="3301"/>
      <c r="F3922" s="3302"/>
      <c r="G3922" s="3303"/>
    </row>
    <row r="3923" spans="1:7" x14ac:dyDescent="0.3">
      <c r="A3923" s="6" t="s">
        <v>6585</v>
      </c>
      <c r="B3923" s="6"/>
      <c r="C3923" s="3296">
        <v>11</v>
      </c>
      <c r="D3923" s="3296"/>
      <c r="E3923" s="3297"/>
      <c r="F3923" s="3298"/>
      <c r="G3923" s="3299"/>
    </row>
    <row r="3924" spans="1:7" x14ac:dyDescent="0.3">
      <c r="A3924" s="11" t="s">
        <v>6589</v>
      </c>
      <c r="B3924" s="11"/>
      <c r="C3924" s="3300">
        <v>6</v>
      </c>
      <c r="D3924" s="3300"/>
      <c r="E3924" s="3301"/>
      <c r="F3924" s="3302"/>
      <c r="G3924" s="3303"/>
    </row>
    <row r="3925" spans="1:7" x14ac:dyDescent="0.3">
      <c r="A3925" s="6" t="s">
        <v>6586</v>
      </c>
      <c r="B3925" s="6"/>
      <c r="C3925" s="3296">
        <v>6</v>
      </c>
      <c r="D3925" s="3296"/>
      <c r="E3925" s="3297"/>
      <c r="F3925" s="3298"/>
      <c r="G3925" s="3299"/>
    </row>
    <row r="3926" spans="1:7" x14ac:dyDescent="0.3">
      <c r="A3926" s="11" t="s">
        <v>6591</v>
      </c>
      <c r="B3926" s="11"/>
      <c r="C3926" s="3300">
        <v>2</v>
      </c>
      <c r="D3926" s="3300"/>
      <c r="E3926" s="3301"/>
      <c r="F3926" s="3302"/>
      <c r="G3926" s="3303"/>
    </row>
    <row r="3927" spans="1:7" x14ac:dyDescent="0.3">
      <c r="A3927" s="6" t="s">
        <v>6596</v>
      </c>
      <c r="B3927" s="6"/>
      <c r="C3927" s="3296">
        <v>1</v>
      </c>
      <c r="D3927" s="3296"/>
      <c r="E3927" s="3297"/>
      <c r="F3927" s="3298"/>
      <c r="G3927" s="3299"/>
    </row>
    <row r="3928" spans="1:7" x14ac:dyDescent="0.3">
      <c r="A3928" s="11" t="s">
        <v>6593</v>
      </c>
      <c r="B3928" s="11"/>
      <c r="C3928" s="3300">
        <v>1</v>
      </c>
      <c r="D3928" s="3300"/>
      <c r="E3928" s="3301"/>
      <c r="F3928" s="3302"/>
      <c r="G3928" s="3303"/>
    </row>
    <row r="3929" spans="1:7" x14ac:dyDescent="0.3">
      <c r="A3929" s="6" t="s">
        <v>6590</v>
      </c>
      <c r="B3929" s="6"/>
      <c r="C3929" s="3296">
        <v>1</v>
      </c>
      <c r="D3929" s="3296"/>
      <c r="E3929" s="3297"/>
      <c r="F3929" s="3298"/>
      <c r="G3929" s="3299"/>
    </row>
    <row r="3930" spans="1:7" x14ac:dyDescent="0.3">
      <c r="A3930" s="11" t="s">
        <v>6592</v>
      </c>
      <c r="B3930" s="11"/>
      <c r="C3930" s="3300">
        <v>1</v>
      </c>
      <c r="D3930" s="3300"/>
      <c r="E3930" s="3301"/>
      <c r="F3930" s="3302"/>
      <c r="G3930" s="3303"/>
    </row>
    <row r="3931" spans="1:7" x14ac:dyDescent="0.3">
      <c r="A3931" s="6" t="s">
        <v>6594</v>
      </c>
      <c r="B3931" s="6"/>
      <c r="C3931" s="3296">
        <v>1</v>
      </c>
      <c r="D3931" s="3296"/>
      <c r="E3931" s="3297"/>
      <c r="F3931" s="3298"/>
      <c r="G3931" s="3299"/>
    </row>
    <row r="3932" spans="1:7" x14ac:dyDescent="0.3">
      <c r="A3932" s="11" t="s">
        <v>6595</v>
      </c>
      <c r="B3932" s="11"/>
      <c r="C3932" s="3300">
        <v>1</v>
      </c>
      <c r="D3932" s="3300"/>
      <c r="E3932" s="3301"/>
      <c r="F3932" s="3302"/>
      <c r="G3932" s="3303"/>
    </row>
    <row r="3933" spans="1:7" x14ac:dyDescent="0.3">
      <c r="A3933" s="6" t="s">
        <v>6568</v>
      </c>
      <c r="B3933" s="6"/>
      <c r="C3933" s="3296">
        <v>475</v>
      </c>
      <c r="D3933" s="3296"/>
      <c r="E3933" s="3297"/>
      <c r="F3933" s="3298"/>
      <c r="G3933" s="3299"/>
    </row>
    <row r="3934" spans="1:7" x14ac:dyDescent="0.3">
      <c r="A3934" s="11" t="s">
        <v>6570</v>
      </c>
      <c r="B3934" s="11"/>
      <c r="C3934" s="3300">
        <v>354</v>
      </c>
      <c r="D3934" s="3300"/>
      <c r="E3934" s="3301"/>
      <c r="F3934" s="3302"/>
      <c r="G3934" s="3303"/>
    </row>
    <row r="3935" spans="1:7" x14ac:dyDescent="0.3">
      <c r="A3935" s="6" t="s">
        <v>6576</v>
      </c>
      <c r="B3935" s="6"/>
      <c r="C3935" s="3296">
        <v>25</v>
      </c>
      <c r="D3935" s="3296"/>
      <c r="E3935" s="3297"/>
      <c r="F3935" s="3298"/>
      <c r="G3935" s="3299"/>
    </row>
    <row r="3936" spans="1:7" x14ac:dyDescent="0.3">
      <c r="A3936" s="11" t="s">
        <v>6575</v>
      </c>
      <c r="B3936" s="11"/>
      <c r="C3936" s="3300">
        <v>67</v>
      </c>
      <c r="D3936" s="3300"/>
      <c r="E3936" s="3301"/>
      <c r="F3936" s="3302"/>
      <c r="G3936" s="3303"/>
    </row>
    <row r="3937" spans="1:7" x14ac:dyDescent="0.3">
      <c r="A3937" s="6" t="s">
        <v>6573</v>
      </c>
      <c r="B3937" s="6"/>
      <c r="C3937" s="3296">
        <v>130</v>
      </c>
      <c r="D3937" s="3296"/>
      <c r="E3937" s="3297"/>
      <c r="F3937" s="3298"/>
      <c r="G3937" s="3299"/>
    </row>
    <row r="3938" spans="1:7" x14ac:dyDescent="0.3">
      <c r="A3938" s="11" t="s">
        <v>6580</v>
      </c>
      <c r="B3938" s="11"/>
      <c r="C3938" s="3300">
        <v>19</v>
      </c>
      <c r="D3938" s="3300"/>
      <c r="E3938" s="3301"/>
      <c r="F3938" s="3302"/>
      <c r="G3938" s="3303"/>
    </row>
    <row r="3939" spans="1:7" x14ac:dyDescent="0.3">
      <c r="A3939" s="6" t="s">
        <v>4924</v>
      </c>
      <c r="B3939" s="6"/>
      <c r="C3939" s="3296">
        <v>88</v>
      </c>
      <c r="D3939" s="3296"/>
      <c r="E3939" s="3297"/>
      <c r="F3939" s="3298"/>
      <c r="G3939" s="3299"/>
    </row>
    <row r="3940" spans="1:7" x14ac:dyDescent="0.3">
      <c r="A3940" s="11" t="s">
        <v>6582</v>
      </c>
      <c r="B3940" s="11"/>
      <c r="C3940" s="3300">
        <v>7</v>
      </c>
      <c r="D3940" s="3300"/>
      <c r="E3940" s="3301"/>
      <c r="F3940" s="3302"/>
      <c r="G3940" s="3303"/>
    </row>
    <row r="3941" spans="1:7" x14ac:dyDescent="0.3">
      <c r="A3941" s="6" t="s">
        <v>6579</v>
      </c>
      <c r="B3941" s="6"/>
      <c r="C3941" s="3296">
        <v>28</v>
      </c>
      <c r="D3941" s="3296"/>
      <c r="E3941" s="3297"/>
      <c r="F3941" s="3298"/>
      <c r="G3941" s="3299"/>
    </row>
    <row r="3942" spans="1:7" x14ac:dyDescent="0.3">
      <c r="A3942" s="11" t="s">
        <v>6584</v>
      </c>
      <c r="B3942" s="11"/>
      <c r="C3942" s="3300">
        <v>3</v>
      </c>
      <c r="D3942" s="3300"/>
      <c r="E3942" s="3301"/>
      <c r="F3942" s="3302"/>
      <c r="G3942" s="3303"/>
    </row>
    <row r="3943" spans="1:7" x14ac:dyDescent="0.3">
      <c r="A3943" s="6" t="s">
        <v>6587</v>
      </c>
      <c r="B3943" s="6"/>
      <c r="C3943" s="3296">
        <v>6</v>
      </c>
      <c r="D3943" s="3296"/>
      <c r="E3943" s="3297"/>
      <c r="F3943" s="3298"/>
      <c r="G3943" s="3299"/>
    </row>
    <row r="3944" spans="1:7" x14ac:dyDescent="0.3">
      <c r="A3944" s="11" t="s">
        <v>6597</v>
      </c>
      <c r="B3944" s="11"/>
      <c r="C3944" s="3300">
        <v>1</v>
      </c>
      <c r="D3944" s="3300"/>
      <c r="E3944" s="3301"/>
      <c r="F3944" s="3302"/>
      <c r="G3944" s="3303"/>
    </row>
    <row r="3945" spans="1:7" x14ac:dyDescent="0.3">
      <c r="A3945" s="6" t="s">
        <v>6588</v>
      </c>
      <c r="B3945" s="6"/>
      <c r="C3945" s="3296">
        <v>2</v>
      </c>
      <c r="D3945" s="3296"/>
      <c r="E3945" s="3297"/>
      <c r="F3945" s="3298"/>
      <c r="G3945" s="3299"/>
    </row>
    <row r="3946" spans="1:7" x14ac:dyDescent="0.3">
      <c r="A3946" s="11" t="s">
        <v>6354</v>
      </c>
      <c r="B3946" s="11" t="s">
        <v>6355</v>
      </c>
      <c r="C3946" s="3300">
        <v>5028</v>
      </c>
      <c r="D3946" s="3300"/>
      <c r="E3946" s="3301"/>
      <c r="F3946" s="3302"/>
      <c r="G3946" s="3303"/>
    </row>
    <row r="3947" spans="1:7" x14ac:dyDescent="0.3">
      <c r="A3947" s="6" t="s">
        <v>6354</v>
      </c>
      <c r="B3947" s="6" t="s">
        <v>6356</v>
      </c>
      <c r="C3947" s="3296">
        <v>5028</v>
      </c>
      <c r="D3947" s="3296"/>
      <c r="E3947" s="3297">
        <v>0</v>
      </c>
      <c r="F3947" s="3298">
        <v>100</v>
      </c>
      <c r="G3947" s="3299">
        <v>0</v>
      </c>
    </row>
    <row r="3948" spans="1:7" x14ac:dyDescent="0.3">
      <c r="A3948" s="3449" t="s">
        <v>527</v>
      </c>
      <c r="B3948" s="3450"/>
      <c r="C3948" s="3450"/>
      <c r="D3948" s="3450"/>
      <c r="E3948" s="3450"/>
      <c r="F3948" s="3450"/>
      <c r="G3948" s="3450"/>
    </row>
    <row r="3949" spans="1:7" x14ac:dyDescent="0.3">
      <c r="A3949" s="11" t="s">
        <v>1021</v>
      </c>
      <c r="B3949" s="11"/>
      <c r="C3949" s="3308">
        <v>475</v>
      </c>
      <c r="D3949" s="3308"/>
      <c r="E3949" s="3309"/>
      <c r="F3949" s="3310"/>
      <c r="G3949" s="3311"/>
    </row>
    <row r="3950" spans="1:7" x14ac:dyDescent="0.3">
      <c r="A3950" s="6" t="s">
        <v>1023</v>
      </c>
      <c r="B3950" s="6"/>
      <c r="C3950" s="3304">
        <v>379</v>
      </c>
      <c r="D3950" s="3304"/>
      <c r="E3950" s="3305"/>
      <c r="F3950" s="3306"/>
      <c r="G3950" s="3307"/>
    </row>
    <row r="3951" spans="1:7" x14ac:dyDescent="0.3">
      <c r="A3951" s="11" t="s">
        <v>1025</v>
      </c>
      <c r="B3951" s="11"/>
      <c r="C3951" s="3308">
        <v>197</v>
      </c>
      <c r="D3951" s="3308"/>
      <c r="E3951" s="3309"/>
      <c r="F3951" s="3310"/>
      <c r="G3951" s="3311"/>
    </row>
    <row r="3952" spans="1:7" x14ac:dyDescent="0.3">
      <c r="A3952" s="6" t="s">
        <v>1027</v>
      </c>
      <c r="B3952" s="6"/>
      <c r="C3952" s="3304">
        <v>107</v>
      </c>
      <c r="D3952" s="3304"/>
      <c r="E3952" s="3305"/>
      <c r="F3952" s="3306"/>
      <c r="G3952" s="3307"/>
    </row>
    <row r="3953" spans="1:7" x14ac:dyDescent="0.3">
      <c r="A3953" s="11" t="s">
        <v>1029</v>
      </c>
      <c r="B3953" s="11"/>
      <c r="C3953" s="3308">
        <v>35</v>
      </c>
      <c r="D3953" s="3308"/>
      <c r="E3953" s="3309"/>
      <c r="F3953" s="3310"/>
      <c r="G3953" s="3311"/>
    </row>
    <row r="3954" spans="1:7" x14ac:dyDescent="0.3">
      <c r="A3954" s="6" t="s">
        <v>1031</v>
      </c>
      <c r="B3954" s="6"/>
      <c r="C3954" s="3304">
        <v>9</v>
      </c>
      <c r="D3954" s="3304"/>
      <c r="E3954" s="3305"/>
      <c r="F3954" s="3306"/>
      <c r="G3954" s="3307"/>
    </row>
    <row r="3955" spans="1:7" x14ac:dyDescent="0.3">
      <c r="A3955" s="11" t="s">
        <v>1040</v>
      </c>
      <c r="B3955" s="11"/>
      <c r="C3955" s="3308">
        <v>3</v>
      </c>
      <c r="D3955" s="3308"/>
      <c r="E3955" s="3309"/>
      <c r="F3955" s="3310"/>
      <c r="G3955" s="3311"/>
    </row>
    <row r="3956" spans="1:7" x14ac:dyDescent="0.3">
      <c r="A3956" s="6" t="s">
        <v>1019</v>
      </c>
      <c r="B3956" s="6"/>
      <c r="C3956" s="3304">
        <v>3823</v>
      </c>
      <c r="D3956" s="3304"/>
      <c r="E3956" s="3305"/>
      <c r="F3956" s="3306"/>
      <c r="G3956" s="3307"/>
    </row>
    <row r="3957" spans="1:7" x14ac:dyDescent="0.3">
      <c r="A3957" s="11" t="s">
        <v>6354</v>
      </c>
      <c r="B3957" s="11" t="s">
        <v>6355</v>
      </c>
      <c r="C3957" s="3308">
        <v>1205</v>
      </c>
      <c r="D3957" s="3308"/>
      <c r="E3957" s="3309"/>
      <c r="F3957" s="3310"/>
      <c r="G3957" s="3311"/>
    </row>
    <row r="3958" spans="1:7" x14ac:dyDescent="0.3">
      <c r="A3958" s="6" t="s">
        <v>6354</v>
      </c>
      <c r="B3958" s="6" t="s">
        <v>6356</v>
      </c>
      <c r="C3958" s="3304">
        <v>5028</v>
      </c>
      <c r="D3958" s="3304"/>
      <c r="E3958" s="3305">
        <v>0</v>
      </c>
      <c r="F3958" s="3306">
        <v>100</v>
      </c>
      <c r="G3958" s="3307">
        <v>0</v>
      </c>
    </row>
    <row r="3959" spans="1:7" x14ac:dyDescent="0.3">
      <c r="A3959" s="3449" t="s">
        <v>399</v>
      </c>
      <c r="B3959" s="3450"/>
      <c r="C3959" s="3450"/>
      <c r="D3959" s="3450"/>
      <c r="E3959" s="3450"/>
      <c r="F3959" s="3450"/>
      <c r="G3959" s="3450"/>
    </row>
    <row r="3960" spans="1:7" x14ac:dyDescent="0.3">
      <c r="A3960" s="11" t="s">
        <v>1021</v>
      </c>
      <c r="B3960" s="11" t="s">
        <v>3193</v>
      </c>
      <c r="C3960" s="3316">
        <v>1049</v>
      </c>
      <c r="D3960" s="3316"/>
      <c r="E3960" s="3317"/>
      <c r="F3960" s="3318"/>
      <c r="G3960" s="3319"/>
    </row>
    <row r="3961" spans="1:7" x14ac:dyDescent="0.3">
      <c r="A3961" s="6" t="s">
        <v>1023</v>
      </c>
      <c r="B3961" s="6" t="s">
        <v>3194</v>
      </c>
      <c r="C3961" s="3312">
        <v>926</v>
      </c>
      <c r="D3961" s="3312"/>
      <c r="E3961" s="3313"/>
      <c r="F3961" s="3314"/>
      <c r="G3961" s="3315"/>
    </row>
    <row r="3962" spans="1:7" x14ac:dyDescent="0.3">
      <c r="A3962" s="11" t="s">
        <v>1025</v>
      </c>
      <c r="B3962" s="11" t="s">
        <v>3195</v>
      </c>
      <c r="C3962" s="3316">
        <v>279</v>
      </c>
      <c r="D3962" s="3316"/>
      <c r="E3962" s="3317"/>
      <c r="F3962" s="3318"/>
      <c r="G3962" s="3319"/>
    </row>
    <row r="3963" spans="1:7" x14ac:dyDescent="0.3">
      <c r="A3963" s="6" t="s">
        <v>1027</v>
      </c>
      <c r="B3963" s="6" t="s">
        <v>3196</v>
      </c>
      <c r="C3963" s="3312">
        <v>2774</v>
      </c>
      <c r="D3963" s="3312"/>
      <c r="E3963" s="3313"/>
      <c r="F3963" s="3314"/>
      <c r="G3963" s="3315"/>
    </row>
    <row r="3964" spans="1:7" x14ac:dyDescent="0.3">
      <c r="A3964" s="11" t="s">
        <v>6354</v>
      </c>
      <c r="B3964" s="11" t="s">
        <v>6355</v>
      </c>
      <c r="C3964" s="3316">
        <v>5028</v>
      </c>
      <c r="D3964" s="3316"/>
      <c r="E3964" s="3317"/>
      <c r="F3964" s="3318"/>
      <c r="G3964" s="3319"/>
    </row>
    <row r="3965" spans="1:7" x14ac:dyDescent="0.3">
      <c r="A3965" s="6" t="s">
        <v>6354</v>
      </c>
      <c r="B3965" s="6" t="s">
        <v>6356</v>
      </c>
      <c r="C3965" s="3312">
        <v>5028</v>
      </c>
      <c r="D3965" s="3312"/>
      <c r="E3965" s="3313">
        <v>0</v>
      </c>
      <c r="F3965" s="3314">
        <v>100</v>
      </c>
      <c r="G3965" s="3315">
        <v>0</v>
      </c>
    </row>
    <row r="3966" spans="1:7" x14ac:dyDescent="0.3">
      <c r="A3966" s="3449" t="s">
        <v>401</v>
      </c>
      <c r="B3966" s="3450"/>
      <c r="C3966" s="3450"/>
      <c r="D3966" s="3450"/>
      <c r="E3966" s="3450"/>
      <c r="F3966" s="3450"/>
      <c r="G3966" s="3450"/>
    </row>
    <row r="3967" spans="1:7" x14ac:dyDescent="0.3">
      <c r="A3967" s="11" t="s">
        <v>6354</v>
      </c>
      <c r="B3967" s="11" t="s">
        <v>6355</v>
      </c>
      <c r="C3967" s="3324">
        <v>4390</v>
      </c>
      <c r="D3967" s="3324"/>
      <c r="E3967" s="3325"/>
      <c r="F3967" s="3326"/>
      <c r="G3967" s="3327"/>
    </row>
    <row r="3968" spans="1:7" x14ac:dyDescent="0.3">
      <c r="A3968" s="6" t="s">
        <v>6354</v>
      </c>
      <c r="B3968" s="6" t="s">
        <v>6356</v>
      </c>
      <c r="C3968" s="3320">
        <v>4390</v>
      </c>
      <c r="D3968" s="3320"/>
      <c r="E3968" s="3321">
        <v>0</v>
      </c>
      <c r="F3968" s="3322">
        <v>100</v>
      </c>
      <c r="G3968" s="3323">
        <v>0</v>
      </c>
    </row>
    <row r="3969" spans="1:7" x14ac:dyDescent="0.3">
      <c r="A3969" s="3449" t="s">
        <v>388</v>
      </c>
      <c r="B3969" s="3450"/>
      <c r="C3969" s="3450"/>
      <c r="D3969" s="3450"/>
      <c r="E3969" s="3450"/>
      <c r="F3969" s="3450"/>
      <c r="G3969" s="3450"/>
    </row>
    <row r="3970" spans="1:7" x14ac:dyDescent="0.3">
      <c r="A3970" s="11" t="s">
        <v>6354</v>
      </c>
      <c r="B3970" s="11" t="s">
        <v>6355</v>
      </c>
      <c r="C3970" s="3332">
        <v>4386</v>
      </c>
      <c r="D3970" s="3332"/>
      <c r="E3970" s="3333"/>
      <c r="F3970" s="3334"/>
      <c r="G3970" s="3335"/>
    </row>
    <row r="3971" spans="1:7" x14ac:dyDescent="0.3">
      <c r="A3971" s="6" t="s">
        <v>6354</v>
      </c>
      <c r="B3971" s="6" t="s">
        <v>6356</v>
      </c>
      <c r="C3971" s="3328">
        <v>4386</v>
      </c>
      <c r="D3971" s="3328"/>
      <c r="E3971" s="3329">
        <v>0</v>
      </c>
      <c r="F3971" s="3330">
        <v>100</v>
      </c>
      <c r="G3971" s="3331">
        <v>0</v>
      </c>
    </row>
    <row r="3972" spans="1:7" x14ac:dyDescent="0.3">
      <c r="A3972" s="3449" t="s">
        <v>394</v>
      </c>
      <c r="B3972" s="3450"/>
      <c r="C3972" s="3450"/>
      <c r="D3972" s="3450"/>
      <c r="E3972" s="3450"/>
      <c r="F3972" s="3450"/>
      <c r="G3972" s="3450"/>
    </row>
    <row r="3973" spans="1:7" x14ac:dyDescent="0.3">
      <c r="A3973" s="11" t="s">
        <v>6354</v>
      </c>
      <c r="B3973" s="11" t="s">
        <v>6355</v>
      </c>
      <c r="C3973" s="3340">
        <v>4680</v>
      </c>
      <c r="D3973" s="3340"/>
      <c r="E3973" s="3341"/>
      <c r="F3973" s="3342"/>
      <c r="G3973" s="3343"/>
    </row>
    <row r="3974" spans="1:7" x14ac:dyDescent="0.3">
      <c r="A3974" s="6" t="s">
        <v>6354</v>
      </c>
      <c r="B3974" s="6" t="s">
        <v>6356</v>
      </c>
      <c r="C3974" s="3336">
        <v>4680</v>
      </c>
      <c r="D3974" s="3336"/>
      <c r="E3974" s="3337">
        <v>0</v>
      </c>
      <c r="F3974" s="3338">
        <v>100</v>
      </c>
      <c r="G3974" s="3339">
        <v>0</v>
      </c>
    </row>
    <row r="3975" spans="1:7" x14ac:dyDescent="0.3">
      <c r="A3975" s="3449" t="s">
        <v>660</v>
      </c>
      <c r="B3975" s="3450"/>
      <c r="C3975" s="3450"/>
      <c r="D3975" s="3450"/>
      <c r="E3975" s="3450"/>
      <c r="F3975" s="3450"/>
      <c r="G3975" s="3450"/>
    </row>
    <row r="3976" spans="1:7" x14ac:dyDescent="0.3">
      <c r="A3976" s="11" t="s">
        <v>6354</v>
      </c>
      <c r="B3976" s="11" t="s">
        <v>6355</v>
      </c>
      <c r="C3976" s="3348">
        <v>4429</v>
      </c>
      <c r="D3976" s="3348"/>
      <c r="E3976" s="3349"/>
      <c r="F3976" s="3350"/>
      <c r="G3976" s="3351"/>
    </row>
    <row r="3977" spans="1:7" x14ac:dyDescent="0.3">
      <c r="A3977" s="6" t="s">
        <v>6354</v>
      </c>
      <c r="B3977" s="6" t="s">
        <v>6356</v>
      </c>
      <c r="C3977" s="3344">
        <v>4429</v>
      </c>
      <c r="D3977" s="3344"/>
      <c r="E3977" s="3345">
        <v>0</v>
      </c>
      <c r="F3977" s="3346">
        <v>100</v>
      </c>
      <c r="G3977" s="3347">
        <v>0</v>
      </c>
    </row>
    <row r="3978" spans="1:7" x14ac:dyDescent="0.3">
      <c r="A3978" s="3449" t="s">
        <v>106</v>
      </c>
      <c r="B3978" s="3450"/>
      <c r="C3978" s="3450"/>
      <c r="D3978" s="3450"/>
      <c r="E3978" s="3450"/>
      <c r="F3978" s="3450"/>
      <c r="G3978" s="3450"/>
    </row>
    <row r="3979" spans="1:7" x14ac:dyDescent="0.3">
      <c r="A3979" s="11" t="s">
        <v>1044</v>
      </c>
      <c r="B3979" s="11" t="s">
        <v>1045</v>
      </c>
      <c r="C3979" s="3356">
        <v>1</v>
      </c>
      <c r="D3979" s="3356"/>
      <c r="E3979" s="3357"/>
      <c r="F3979" s="3358"/>
      <c r="G3979" s="3359"/>
    </row>
    <row r="3980" spans="1:7" x14ac:dyDescent="0.3">
      <c r="A3980" s="6" t="s">
        <v>6354</v>
      </c>
      <c r="B3980" s="6" t="s">
        <v>6355</v>
      </c>
      <c r="C3980" s="3352">
        <v>5003</v>
      </c>
      <c r="D3980" s="3352"/>
      <c r="E3980" s="3353"/>
      <c r="F3980" s="3354"/>
      <c r="G3980" s="3355"/>
    </row>
    <row r="3981" spans="1:7" x14ac:dyDescent="0.3">
      <c r="A3981" s="11" t="s">
        <v>6354</v>
      </c>
      <c r="B3981" s="11" t="s">
        <v>6356</v>
      </c>
      <c r="C3981" s="3356">
        <v>5004</v>
      </c>
      <c r="D3981" s="3356"/>
      <c r="E3981" s="3357">
        <v>0</v>
      </c>
      <c r="F3981" s="3358">
        <v>100</v>
      </c>
      <c r="G3981" s="3359">
        <v>0</v>
      </c>
    </row>
    <row r="3982" spans="1:7" x14ac:dyDescent="0.3">
      <c r="A3982" s="3449" t="s">
        <v>656</v>
      </c>
      <c r="B3982" s="3450"/>
      <c r="C3982" s="3450"/>
      <c r="D3982" s="3450"/>
      <c r="E3982" s="3450"/>
      <c r="F3982" s="3450"/>
      <c r="G3982" s="3450"/>
    </row>
    <row r="3983" spans="1:7" x14ac:dyDescent="0.3">
      <c r="A3983" s="11" t="s">
        <v>6624</v>
      </c>
      <c r="B3983" s="11"/>
      <c r="C3983" s="3364">
        <v>5</v>
      </c>
      <c r="D3983" s="3364"/>
      <c r="E3983" s="3365"/>
      <c r="F3983" s="3366"/>
      <c r="G3983" s="3367"/>
    </row>
    <row r="3984" spans="1:7" x14ac:dyDescent="0.3">
      <c r="A3984" s="6" t="s">
        <v>6625</v>
      </c>
      <c r="B3984" s="6"/>
      <c r="C3984" s="3360">
        <v>6</v>
      </c>
      <c r="D3984" s="3360"/>
      <c r="E3984" s="3361"/>
      <c r="F3984" s="3362"/>
      <c r="G3984" s="3363"/>
    </row>
    <row r="3985" spans="1:7" x14ac:dyDescent="0.3">
      <c r="A3985" s="11" t="s">
        <v>6626</v>
      </c>
      <c r="B3985" s="11"/>
      <c r="C3985" s="3364">
        <v>4</v>
      </c>
      <c r="D3985" s="3364"/>
      <c r="E3985" s="3365"/>
      <c r="F3985" s="3366"/>
      <c r="G3985" s="3367"/>
    </row>
    <row r="3986" spans="1:7" x14ac:dyDescent="0.3">
      <c r="A3986" s="6" t="s">
        <v>6627</v>
      </c>
      <c r="B3986" s="6"/>
      <c r="C3986" s="3360">
        <v>3</v>
      </c>
      <c r="D3986" s="3360"/>
      <c r="E3986" s="3361"/>
      <c r="F3986" s="3362"/>
      <c r="G3986" s="3363"/>
    </row>
    <row r="3987" spans="1:7" x14ac:dyDescent="0.3">
      <c r="A3987" s="11" t="s">
        <v>6628</v>
      </c>
      <c r="B3987" s="11"/>
      <c r="C3987" s="3364">
        <v>3</v>
      </c>
      <c r="D3987" s="3364"/>
      <c r="E3987" s="3365"/>
      <c r="F3987" s="3366"/>
      <c r="G3987" s="3367"/>
    </row>
    <row r="3988" spans="1:7" x14ac:dyDescent="0.3">
      <c r="A3988" s="6" t="s">
        <v>6629</v>
      </c>
      <c r="B3988" s="6"/>
      <c r="C3988" s="3360">
        <v>5</v>
      </c>
      <c r="D3988" s="3360"/>
      <c r="E3988" s="3361"/>
      <c r="F3988" s="3362"/>
      <c r="G3988" s="3363"/>
    </row>
    <row r="3989" spans="1:7" x14ac:dyDescent="0.3">
      <c r="A3989" s="11" t="s">
        <v>6399</v>
      </c>
      <c r="B3989" s="11"/>
      <c r="C3989" s="3364">
        <v>4</v>
      </c>
      <c r="D3989" s="3364"/>
      <c r="E3989" s="3365"/>
      <c r="F3989" s="3366"/>
      <c r="G3989" s="3367"/>
    </row>
    <row r="3990" spans="1:7" x14ac:dyDescent="0.3">
      <c r="A3990" s="6" t="s">
        <v>6630</v>
      </c>
      <c r="B3990" s="6"/>
      <c r="C3990" s="3360">
        <v>1</v>
      </c>
      <c r="D3990" s="3360"/>
      <c r="E3990" s="3361"/>
      <c r="F3990" s="3362"/>
      <c r="G3990" s="3363"/>
    </row>
    <row r="3991" spans="1:7" x14ac:dyDescent="0.3">
      <c r="A3991" s="11" t="s">
        <v>6631</v>
      </c>
      <c r="B3991" s="11"/>
      <c r="C3991" s="3364">
        <v>1</v>
      </c>
      <c r="D3991" s="3364"/>
      <c r="E3991" s="3365"/>
      <c r="F3991" s="3366"/>
      <c r="G3991" s="3367"/>
    </row>
    <row r="3992" spans="1:7" x14ac:dyDescent="0.3">
      <c r="A3992" s="6" t="s">
        <v>6632</v>
      </c>
      <c r="B3992" s="6"/>
      <c r="C3992" s="3360">
        <v>7</v>
      </c>
      <c r="D3992" s="3360"/>
      <c r="E3992" s="3361"/>
      <c r="F3992" s="3362"/>
      <c r="G3992" s="3363"/>
    </row>
    <row r="3993" spans="1:7" x14ac:dyDescent="0.3">
      <c r="A3993" s="11" t="s">
        <v>6633</v>
      </c>
      <c r="B3993" s="11"/>
      <c r="C3993" s="3364">
        <v>2</v>
      </c>
      <c r="D3993" s="3364"/>
      <c r="E3993" s="3365"/>
      <c r="F3993" s="3366"/>
      <c r="G3993" s="3367"/>
    </row>
    <row r="3994" spans="1:7" x14ac:dyDescent="0.3">
      <c r="A3994" s="6" t="s">
        <v>6634</v>
      </c>
      <c r="B3994" s="6"/>
      <c r="C3994" s="3360">
        <v>2</v>
      </c>
      <c r="D3994" s="3360"/>
      <c r="E3994" s="3361"/>
      <c r="F3994" s="3362"/>
      <c r="G3994" s="3363"/>
    </row>
    <row r="3995" spans="1:7" x14ac:dyDescent="0.3">
      <c r="A3995" s="11" t="s">
        <v>6635</v>
      </c>
      <c r="B3995" s="11"/>
      <c r="C3995" s="3364">
        <v>10</v>
      </c>
      <c r="D3995" s="3364"/>
      <c r="E3995" s="3365"/>
      <c r="F3995" s="3366"/>
      <c r="G3995" s="3367"/>
    </row>
    <row r="3996" spans="1:7" x14ac:dyDescent="0.3">
      <c r="A3996" s="6" t="s">
        <v>6636</v>
      </c>
      <c r="B3996" s="6"/>
      <c r="C3996" s="3360">
        <v>1</v>
      </c>
      <c r="D3996" s="3360"/>
      <c r="E3996" s="3361"/>
      <c r="F3996" s="3362"/>
      <c r="G3996" s="3363"/>
    </row>
    <row r="3997" spans="1:7" x14ac:dyDescent="0.3">
      <c r="A3997" s="11" t="s">
        <v>6637</v>
      </c>
      <c r="B3997" s="11"/>
      <c r="C3997" s="3364">
        <v>12</v>
      </c>
      <c r="D3997" s="3364"/>
      <c r="E3997" s="3365"/>
      <c r="F3997" s="3366"/>
      <c r="G3997" s="3367"/>
    </row>
    <row r="3998" spans="1:7" x14ac:dyDescent="0.3">
      <c r="A3998" s="6" t="s">
        <v>6638</v>
      </c>
      <c r="B3998" s="6"/>
      <c r="C3998" s="3360">
        <v>1</v>
      </c>
      <c r="D3998" s="3360"/>
      <c r="E3998" s="3361"/>
      <c r="F3998" s="3362"/>
      <c r="G3998" s="3363"/>
    </row>
    <row r="3999" spans="1:7" x14ac:dyDescent="0.3">
      <c r="A3999" s="11" t="s">
        <v>6639</v>
      </c>
      <c r="B3999" s="11"/>
      <c r="C3999" s="3364">
        <v>3</v>
      </c>
      <c r="D3999" s="3364"/>
      <c r="E3999" s="3365"/>
      <c r="F3999" s="3366"/>
      <c r="G3999" s="3367"/>
    </row>
    <row r="4000" spans="1:7" x14ac:dyDescent="0.3">
      <c r="A4000" s="6" t="s">
        <v>6640</v>
      </c>
      <c r="B4000" s="6"/>
      <c r="C4000" s="3360">
        <v>7</v>
      </c>
      <c r="D4000" s="3360"/>
      <c r="E4000" s="3361"/>
      <c r="F4000" s="3362"/>
      <c r="G4000" s="3363"/>
    </row>
    <row r="4001" spans="1:7" x14ac:dyDescent="0.3">
      <c r="A4001" s="11" t="s">
        <v>6641</v>
      </c>
      <c r="B4001" s="11"/>
      <c r="C4001" s="3364">
        <v>5</v>
      </c>
      <c r="D4001" s="3364"/>
      <c r="E4001" s="3365"/>
      <c r="F4001" s="3366"/>
      <c r="G4001" s="3367"/>
    </row>
    <row r="4002" spans="1:7" x14ac:dyDescent="0.3">
      <c r="A4002" s="6" t="s">
        <v>6398</v>
      </c>
      <c r="B4002" s="6"/>
      <c r="C4002" s="3360">
        <v>4895</v>
      </c>
      <c r="D4002" s="3360"/>
      <c r="E4002" s="3361"/>
      <c r="F4002" s="3362"/>
      <c r="G4002" s="3363"/>
    </row>
    <row r="4003" spans="1:7" x14ac:dyDescent="0.3">
      <c r="A4003" s="11" t="s">
        <v>6642</v>
      </c>
      <c r="B4003" s="11"/>
      <c r="C4003" s="3364">
        <v>6</v>
      </c>
      <c r="D4003" s="3364"/>
      <c r="E4003" s="3365"/>
      <c r="F4003" s="3366"/>
      <c r="G4003" s="3367"/>
    </row>
    <row r="4004" spans="1:7" x14ac:dyDescent="0.3">
      <c r="A4004" s="6" t="s">
        <v>6643</v>
      </c>
      <c r="B4004" s="6"/>
      <c r="C4004" s="3360">
        <v>5</v>
      </c>
      <c r="D4004" s="3360"/>
      <c r="E4004" s="3361"/>
      <c r="F4004" s="3362"/>
      <c r="G4004" s="3363"/>
    </row>
    <row r="4005" spans="1:7" x14ac:dyDescent="0.3">
      <c r="A4005" s="11" t="s">
        <v>6644</v>
      </c>
      <c r="B4005" s="11"/>
      <c r="C4005" s="3364">
        <v>29</v>
      </c>
      <c r="D4005" s="3364"/>
      <c r="E4005" s="3365"/>
      <c r="F4005" s="3366"/>
      <c r="G4005" s="3367"/>
    </row>
    <row r="4006" spans="1:7" x14ac:dyDescent="0.3">
      <c r="A4006" s="6" t="s">
        <v>6645</v>
      </c>
      <c r="B4006" s="6"/>
      <c r="C4006" s="3360">
        <v>2</v>
      </c>
      <c r="D4006" s="3360"/>
      <c r="E4006" s="3361"/>
      <c r="F4006" s="3362"/>
      <c r="G4006" s="3363"/>
    </row>
    <row r="4007" spans="1:7" x14ac:dyDescent="0.3">
      <c r="A4007" s="11" t="s">
        <v>6646</v>
      </c>
      <c r="B4007" s="11"/>
      <c r="C4007" s="3364">
        <v>5</v>
      </c>
      <c r="D4007" s="3364"/>
      <c r="E4007" s="3365"/>
      <c r="F4007" s="3366"/>
      <c r="G4007" s="3367"/>
    </row>
    <row r="4008" spans="1:7" x14ac:dyDescent="0.3">
      <c r="A4008" s="6" t="s">
        <v>1044</v>
      </c>
      <c r="B4008" s="6" t="s">
        <v>1045</v>
      </c>
      <c r="C4008" s="3360">
        <v>1</v>
      </c>
      <c r="D4008" s="3360"/>
      <c r="E4008" s="3361"/>
      <c r="F4008" s="3362"/>
      <c r="G4008" s="3363"/>
    </row>
    <row r="4009" spans="1:7" x14ac:dyDescent="0.3">
      <c r="A4009" s="11" t="s">
        <v>6354</v>
      </c>
      <c r="B4009" s="11" t="s">
        <v>6355</v>
      </c>
      <c r="C4009" s="3364">
        <v>5024</v>
      </c>
      <c r="D4009" s="3364"/>
      <c r="E4009" s="3365"/>
      <c r="F4009" s="3366"/>
      <c r="G4009" s="3367"/>
    </row>
    <row r="4010" spans="1:7" x14ac:dyDescent="0.3">
      <c r="A4010" s="6" t="s">
        <v>6354</v>
      </c>
      <c r="B4010" s="6" t="s">
        <v>6356</v>
      </c>
      <c r="C4010" s="3360">
        <v>5025</v>
      </c>
      <c r="D4010" s="3360"/>
      <c r="E4010" s="3361">
        <v>0</v>
      </c>
      <c r="F4010" s="3362">
        <v>100</v>
      </c>
      <c r="G4010" s="3363">
        <v>0</v>
      </c>
    </row>
    <row r="4011" spans="1:7" x14ac:dyDescent="0.3">
      <c r="A4011" s="3449" t="s">
        <v>1010</v>
      </c>
      <c r="B4011" s="3450"/>
      <c r="C4011" s="3450"/>
      <c r="D4011" s="3450"/>
      <c r="E4011" s="3450"/>
      <c r="F4011" s="3450"/>
      <c r="G4011" s="3450"/>
    </row>
    <row r="4012" spans="1:7" x14ac:dyDescent="0.3">
      <c r="A4012" s="11" t="s">
        <v>1044</v>
      </c>
      <c r="B4012" s="11" t="s">
        <v>1045</v>
      </c>
      <c r="C4012" s="3372">
        <v>1</v>
      </c>
      <c r="D4012" s="3372"/>
      <c r="E4012" s="3373"/>
      <c r="F4012" s="3374"/>
      <c r="G4012" s="3375"/>
    </row>
    <row r="4013" spans="1:7" x14ac:dyDescent="0.3">
      <c r="A4013" s="6" t="s">
        <v>6354</v>
      </c>
      <c r="B4013" s="6" t="s">
        <v>6355</v>
      </c>
      <c r="C4013" s="3368">
        <v>5003</v>
      </c>
      <c r="D4013" s="3368"/>
      <c r="E4013" s="3369"/>
      <c r="F4013" s="3370"/>
      <c r="G4013" s="3371"/>
    </row>
    <row r="4014" spans="1:7" x14ac:dyDescent="0.3">
      <c r="A4014" s="11" t="s">
        <v>6354</v>
      </c>
      <c r="B4014" s="11" t="s">
        <v>6356</v>
      </c>
      <c r="C4014" s="3372">
        <v>5004</v>
      </c>
      <c r="D4014" s="3372"/>
      <c r="E4014" s="3373">
        <v>0</v>
      </c>
      <c r="F4014" s="3374">
        <v>100</v>
      </c>
      <c r="G4014" s="3375">
        <v>0</v>
      </c>
    </row>
    <row r="4015" spans="1:7" x14ac:dyDescent="0.3">
      <c r="A4015" s="3449" t="s">
        <v>135</v>
      </c>
      <c r="B4015" s="3450"/>
      <c r="C4015" s="3450"/>
      <c r="D4015" s="3450"/>
      <c r="E4015" s="3450"/>
      <c r="F4015" s="3450"/>
      <c r="G4015" s="3450"/>
    </row>
    <row r="4016" spans="1:7" x14ac:dyDescent="0.3">
      <c r="A4016" s="11" t="s">
        <v>6647</v>
      </c>
      <c r="B4016" s="11"/>
      <c r="C4016" s="3380">
        <v>1</v>
      </c>
      <c r="D4016" s="3380"/>
      <c r="E4016" s="3381"/>
      <c r="F4016" s="3382"/>
      <c r="G4016" s="3383"/>
    </row>
    <row r="4017" spans="1:7" x14ac:dyDescent="0.3">
      <c r="A4017" s="6" t="s">
        <v>6648</v>
      </c>
      <c r="B4017" s="6"/>
      <c r="C4017" s="3376">
        <v>5027</v>
      </c>
      <c r="D4017" s="3376"/>
      <c r="E4017" s="3377"/>
      <c r="F4017" s="3378"/>
      <c r="G4017" s="3379"/>
    </row>
    <row r="4018" spans="1:7" x14ac:dyDescent="0.3">
      <c r="A4018" s="11" t="s">
        <v>6354</v>
      </c>
      <c r="B4018" s="11" t="s">
        <v>6355</v>
      </c>
      <c r="C4018" s="3380">
        <v>5028</v>
      </c>
      <c r="D4018" s="3380"/>
      <c r="E4018" s="3381"/>
      <c r="F4018" s="3382"/>
      <c r="G4018" s="3383"/>
    </row>
    <row r="4019" spans="1:7" x14ac:dyDescent="0.3">
      <c r="A4019" s="6" t="s">
        <v>6354</v>
      </c>
      <c r="B4019" s="6" t="s">
        <v>6356</v>
      </c>
      <c r="C4019" s="3376">
        <v>5028</v>
      </c>
      <c r="D4019" s="3376"/>
      <c r="E4019" s="3377">
        <v>0</v>
      </c>
      <c r="F4019" s="3378">
        <v>100</v>
      </c>
      <c r="G4019" s="3379">
        <v>0</v>
      </c>
    </row>
    <row r="4020" spans="1:7" x14ac:dyDescent="0.3">
      <c r="A4020" s="3449" t="s">
        <v>205</v>
      </c>
      <c r="B4020" s="3450"/>
      <c r="C4020" s="3450"/>
      <c r="D4020" s="3450"/>
      <c r="E4020" s="3450"/>
      <c r="F4020" s="3450"/>
      <c r="G4020" s="3450"/>
    </row>
    <row r="4021" spans="1:7" x14ac:dyDescent="0.3">
      <c r="A4021" s="11" t="s">
        <v>6354</v>
      </c>
      <c r="B4021" s="11" t="s">
        <v>6355</v>
      </c>
      <c r="C4021" s="3388">
        <v>4425</v>
      </c>
      <c r="D4021" s="3388"/>
      <c r="E4021" s="3389"/>
      <c r="F4021" s="3390"/>
      <c r="G4021" s="3391"/>
    </row>
    <row r="4022" spans="1:7" x14ac:dyDescent="0.3">
      <c r="A4022" s="6" t="s">
        <v>6354</v>
      </c>
      <c r="B4022" s="6" t="s">
        <v>6356</v>
      </c>
      <c r="C4022" s="3384">
        <v>4425</v>
      </c>
      <c r="D4022" s="3384"/>
      <c r="E4022" s="3385">
        <v>0</v>
      </c>
      <c r="F4022" s="3386">
        <v>100</v>
      </c>
      <c r="G4022" s="3387">
        <v>0</v>
      </c>
    </row>
    <row r="4023" spans="1:7" x14ac:dyDescent="0.3">
      <c r="A4023" s="3449" t="s">
        <v>207</v>
      </c>
      <c r="B4023" s="3450"/>
      <c r="C4023" s="3450"/>
      <c r="D4023" s="3450"/>
      <c r="E4023" s="3450"/>
      <c r="F4023" s="3450"/>
      <c r="G4023" s="3450"/>
    </row>
    <row r="4024" spans="1:7" x14ac:dyDescent="0.3">
      <c r="A4024" s="11" t="s">
        <v>1019</v>
      </c>
      <c r="B4024" s="11" t="s">
        <v>1020</v>
      </c>
      <c r="C4024" s="3396">
        <v>1</v>
      </c>
      <c r="D4024" s="3396"/>
      <c r="E4024" s="3397"/>
      <c r="F4024" s="3398"/>
      <c r="G4024" s="3399"/>
    </row>
    <row r="4025" spans="1:7" x14ac:dyDescent="0.3">
      <c r="A4025" s="6" t="s">
        <v>6354</v>
      </c>
      <c r="B4025" s="6" t="s">
        <v>6355</v>
      </c>
      <c r="C4025" s="3392">
        <v>4977</v>
      </c>
      <c r="D4025" s="3392"/>
      <c r="E4025" s="3393"/>
      <c r="F4025" s="3394"/>
      <c r="G4025" s="3395"/>
    </row>
    <row r="4026" spans="1:7" x14ac:dyDescent="0.3">
      <c r="A4026" s="11" t="s">
        <v>6354</v>
      </c>
      <c r="B4026" s="11" t="s">
        <v>6356</v>
      </c>
      <c r="C4026" s="3396">
        <v>4978</v>
      </c>
      <c r="D4026" s="3396"/>
      <c r="E4026" s="3397">
        <v>0</v>
      </c>
      <c r="F4026" s="3398">
        <v>100</v>
      </c>
      <c r="G4026" s="3399">
        <v>0</v>
      </c>
    </row>
    <row r="4027" spans="1:7" x14ac:dyDescent="0.3">
      <c r="A4027" s="3449" t="s">
        <v>658</v>
      </c>
      <c r="B4027" s="3450"/>
      <c r="C4027" s="3450"/>
      <c r="D4027" s="3450"/>
      <c r="E4027" s="3450"/>
      <c r="F4027" s="3450"/>
      <c r="G4027" s="3450"/>
    </row>
    <row r="4028" spans="1:7" x14ac:dyDescent="0.3">
      <c r="A4028" s="11" t="s">
        <v>1021</v>
      </c>
      <c r="B4028" s="11"/>
      <c r="C4028" s="3404">
        <v>5</v>
      </c>
      <c r="D4028" s="3404"/>
      <c r="E4028" s="3405"/>
      <c r="F4028" s="3406"/>
      <c r="G4028" s="3407"/>
    </row>
    <row r="4029" spans="1:7" x14ac:dyDescent="0.3">
      <c r="A4029" s="6" t="s">
        <v>1029</v>
      </c>
      <c r="B4029" s="6"/>
      <c r="C4029" s="3400">
        <v>6</v>
      </c>
      <c r="D4029" s="3400"/>
      <c r="E4029" s="3401"/>
      <c r="F4029" s="3402"/>
      <c r="G4029" s="3403"/>
    </row>
    <row r="4030" spans="1:7" x14ac:dyDescent="0.3">
      <c r="A4030" s="11" t="s">
        <v>1031</v>
      </c>
      <c r="B4030" s="11"/>
      <c r="C4030" s="3404">
        <v>4</v>
      </c>
      <c r="D4030" s="3404"/>
      <c r="E4030" s="3405"/>
      <c r="F4030" s="3406"/>
      <c r="G4030" s="3407"/>
    </row>
    <row r="4031" spans="1:7" x14ac:dyDescent="0.3">
      <c r="A4031" s="6" t="s">
        <v>1042</v>
      </c>
      <c r="B4031" s="6"/>
      <c r="C4031" s="3400">
        <v>3</v>
      </c>
      <c r="D4031" s="3400"/>
      <c r="E4031" s="3401"/>
      <c r="F4031" s="3402"/>
      <c r="G4031" s="3403"/>
    </row>
    <row r="4032" spans="1:7" x14ac:dyDescent="0.3">
      <c r="A4032" s="11" t="s">
        <v>1067</v>
      </c>
      <c r="B4032" s="11"/>
      <c r="C4032" s="3404">
        <v>3</v>
      </c>
      <c r="D4032" s="3404"/>
      <c r="E4032" s="3405"/>
      <c r="F4032" s="3406"/>
      <c r="G4032" s="3407"/>
    </row>
    <row r="4033" spans="1:7" x14ac:dyDescent="0.3">
      <c r="A4033" s="6" t="s">
        <v>1069</v>
      </c>
      <c r="B4033" s="6"/>
      <c r="C4033" s="3400">
        <v>5</v>
      </c>
      <c r="D4033" s="3400"/>
      <c r="E4033" s="3401"/>
      <c r="F4033" s="3402"/>
      <c r="G4033" s="3403"/>
    </row>
    <row r="4034" spans="1:7" x14ac:dyDescent="0.3">
      <c r="A4034" s="11" t="s">
        <v>1077</v>
      </c>
      <c r="B4034" s="11"/>
      <c r="C4034" s="3404">
        <v>1</v>
      </c>
      <c r="D4034" s="3404"/>
      <c r="E4034" s="3405"/>
      <c r="F4034" s="3406"/>
      <c r="G4034" s="3407"/>
    </row>
    <row r="4035" spans="1:7" x14ac:dyDescent="0.3">
      <c r="A4035" s="6" t="s">
        <v>1079</v>
      </c>
      <c r="B4035" s="6"/>
      <c r="C4035" s="3400">
        <v>1</v>
      </c>
      <c r="D4035" s="3400"/>
      <c r="E4035" s="3401"/>
      <c r="F4035" s="3402"/>
      <c r="G4035" s="3403"/>
    </row>
    <row r="4036" spans="1:7" x14ac:dyDescent="0.3">
      <c r="A4036" s="11" t="s">
        <v>1081</v>
      </c>
      <c r="B4036" s="11"/>
      <c r="C4036" s="3404">
        <v>4</v>
      </c>
      <c r="D4036" s="3404"/>
      <c r="E4036" s="3405"/>
      <c r="F4036" s="3406"/>
      <c r="G4036" s="3407"/>
    </row>
    <row r="4037" spans="1:7" x14ac:dyDescent="0.3">
      <c r="A4037" s="6" t="s">
        <v>1222</v>
      </c>
      <c r="B4037" s="6"/>
      <c r="C4037" s="3400">
        <v>7</v>
      </c>
      <c r="D4037" s="3400"/>
      <c r="E4037" s="3401"/>
      <c r="F4037" s="3402"/>
      <c r="G4037" s="3403"/>
    </row>
    <row r="4038" spans="1:7" x14ac:dyDescent="0.3">
      <c r="A4038" s="11" t="s">
        <v>1114</v>
      </c>
      <c r="B4038" s="11"/>
      <c r="C4038" s="3404">
        <v>2</v>
      </c>
      <c r="D4038" s="3404"/>
      <c r="E4038" s="3405"/>
      <c r="F4038" s="3406"/>
      <c r="G4038" s="3407"/>
    </row>
    <row r="4039" spans="1:7" x14ac:dyDescent="0.3">
      <c r="A4039" s="6" t="s">
        <v>1116</v>
      </c>
      <c r="B4039" s="6"/>
      <c r="C4039" s="3400">
        <v>2</v>
      </c>
      <c r="D4039" s="3400"/>
      <c r="E4039" s="3401"/>
      <c r="F4039" s="3402"/>
      <c r="G4039" s="3403"/>
    </row>
    <row r="4040" spans="1:7" x14ac:dyDescent="0.3">
      <c r="A4040" s="11" t="s">
        <v>1120</v>
      </c>
      <c r="B4040" s="11"/>
      <c r="C4040" s="3404">
        <v>10</v>
      </c>
      <c r="D4040" s="3404"/>
      <c r="E4040" s="3405"/>
      <c r="F4040" s="3406"/>
      <c r="G4040" s="3407"/>
    </row>
    <row r="4041" spans="1:7" x14ac:dyDescent="0.3">
      <c r="A4041" s="6" t="s">
        <v>3103</v>
      </c>
      <c r="B4041" s="6"/>
      <c r="C4041" s="3400">
        <v>1</v>
      </c>
      <c r="D4041" s="3400"/>
      <c r="E4041" s="3401"/>
      <c r="F4041" s="3402"/>
      <c r="G4041" s="3403"/>
    </row>
    <row r="4042" spans="1:7" x14ac:dyDescent="0.3">
      <c r="A4042" s="11" t="s">
        <v>3105</v>
      </c>
      <c r="B4042" s="11"/>
      <c r="C4042" s="3404">
        <v>1</v>
      </c>
      <c r="D4042" s="3404"/>
      <c r="E4042" s="3405"/>
      <c r="F4042" s="3406"/>
      <c r="G4042" s="3407"/>
    </row>
    <row r="4043" spans="1:7" x14ac:dyDescent="0.3">
      <c r="A4043" s="6" t="s">
        <v>3107</v>
      </c>
      <c r="B4043" s="6"/>
      <c r="C4043" s="3400">
        <v>12</v>
      </c>
      <c r="D4043" s="3400"/>
      <c r="E4043" s="3401"/>
      <c r="F4043" s="3402"/>
      <c r="G4043" s="3403"/>
    </row>
    <row r="4044" spans="1:7" x14ac:dyDescent="0.3">
      <c r="A4044" s="11" t="s">
        <v>1124</v>
      </c>
      <c r="B4044" s="11"/>
      <c r="C4044" s="3404">
        <v>7</v>
      </c>
      <c r="D4044" s="3404"/>
      <c r="E4044" s="3405"/>
      <c r="F4044" s="3406"/>
      <c r="G4044" s="3407"/>
    </row>
    <row r="4045" spans="1:7" x14ac:dyDescent="0.3">
      <c r="A4045" s="6" t="s">
        <v>3116</v>
      </c>
      <c r="B4045" s="6"/>
      <c r="C4045" s="3400">
        <v>5</v>
      </c>
      <c r="D4045" s="3400"/>
      <c r="E4045" s="3401"/>
      <c r="F4045" s="3402"/>
      <c r="G4045" s="3403"/>
    </row>
    <row r="4046" spans="1:7" x14ac:dyDescent="0.3">
      <c r="A4046" s="11" t="s">
        <v>3118</v>
      </c>
      <c r="B4046" s="11"/>
      <c r="C4046" s="3404">
        <v>3</v>
      </c>
      <c r="D4046" s="3404"/>
      <c r="E4046" s="3405"/>
      <c r="F4046" s="3406"/>
      <c r="G4046" s="3407"/>
    </row>
    <row r="4047" spans="1:7" x14ac:dyDescent="0.3">
      <c r="A4047" s="6" t="s">
        <v>1226</v>
      </c>
      <c r="B4047" s="6"/>
      <c r="C4047" s="3400">
        <v>4895</v>
      </c>
      <c r="D4047" s="3400"/>
      <c r="E4047" s="3401"/>
      <c r="F4047" s="3402"/>
      <c r="G4047" s="3403"/>
    </row>
    <row r="4048" spans="1:7" x14ac:dyDescent="0.3">
      <c r="A4048" s="11" t="s">
        <v>1132</v>
      </c>
      <c r="B4048" s="11"/>
      <c r="C4048" s="3404">
        <v>6</v>
      </c>
      <c r="D4048" s="3404"/>
      <c r="E4048" s="3405"/>
      <c r="F4048" s="3406"/>
      <c r="G4048" s="3407"/>
    </row>
    <row r="4049" spans="1:7" x14ac:dyDescent="0.3">
      <c r="A4049" s="6" t="s">
        <v>3132</v>
      </c>
      <c r="B4049" s="6"/>
      <c r="C4049" s="3400">
        <v>5</v>
      </c>
      <c r="D4049" s="3400"/>
      <c r="E4049" s="3401"/>
      <c r="F4049" s="3402"/>
      <c r="G4049" s="3403"/>
    </row>
    <row r="4050" spans="1:7" x14ac:dyDescent="0.3">
      <c r="A4050" s="11" t="s">
        <v>3134</v>
      </c>
      <c r="B4050" s="11"/>
      <c r="C4050" s="3404">
        <v>29</v>
      </c>
      <c r="D4050" s="3404"/>
      <c r="E4050" s="3405"/>
      <c r="F4050" s="3406"/>
      <c r="G4050" s="3407"/>
    </row>
    <row r="4051" spans="1:7" x14ac:dyDescent="0.3">
      <c r="A4051" s="6" t="s">
        <v>3136</v>
      </c>
      <c r="B4051" s="6"/>
      <c r="C4051" s="3400">
        <v>2</v>
      </c>
      <c r="D4051" s="3400"/>
      <c r="E4051" s="3401"/>
      <c r="F4051" s="3402"/>
      <c r="G4051" s="3403"/>
    </row>
    <row r="4052" spans="1:7" x14ac:dyDescent="0.3">
      <c r="A4052" s="11" t="s">
        <v>1138</v>
      </c>
      <c r="B4052" s="11"/>
      <c r="C4052" s="3404">
        <v>5</v>
      </c>
      <c r="D4052" s="3404"/>
      <c r="E4052" s="3405"/>
      <c r="F4052" s="3406"/>
      <c r="G4052" s="3407"/>
    </row>
    <row r="4053" spans="1:7" x14ac:dyDescent="0.3">
      <c r="A4053" s="6" t="s">
        <v>1019</v>
      </c>
      <c r="B4053" s="6"/>
      <c r="C4053" s="3400">
        <v>1</v>
      </c>
      <c r="D4053" s="3400"/>
      <c r="E4053" s="3401"/>
      <c r="F4053" s="3402"/>
      <c r="G4053" s="3403"/>
    </row>
    <row r="4054" spans="1:7" x14ac:dyDescent="0.3">
      <c r="A4054" s="11" t="s">
        <v>6354</v>
      </c>
      <c r="B4054" s="11" t="s">
        <v>6355</v>
      </c>
      <c r="C4054" s="3404">
        <v>5024</v>
      </c>
      <c r="D4054" s="3404"/>
      <c r="E4054" s="3405"/>
      <c r="F4054" s="3406"/>
      <c r="G4054" s="3407"/>
    </row>
    <row r="4055" spans="1:7" x14ac:dyDescent="0.3">
      <c r="A4055" s="6" t="s">
        <v>6354</v>
      </c>
      <c r="B4055" s="6" t="s">
        <v>6356</v>
      </c>
      <c r="C4055" s="3400">
        <v>5025</v>
      </c>
      <c r="D4055" s="3400"/>
      <c r="E4055" s="3401">
        <v>0</v>
      </c>
      <c r="F4055" s="3402">
        <v>100</v>
      </c>
      <c r="G4055" s="3403">
        <v>0</v>
      </c>
    </row>
    <row r="4056" spans="1:7" x14ac:dyDescent="0.3">
      <c r="A4056" s="3449" t="s">
        <v>112</v>
      </c>
      <c r="B4056" s="3450"/>
      <c r="C4056" s="3450"/>
      <c r="D4056" s="3450"/>
      <c r="E4056" s="3450"/>
      <c r="F4056" s="3450"/>
      <c r="G4056" s="3450"/>
    </row>
    <row r="4057" spans="1:7" x14ac:dyDescent="0.3">
      <c r="A4057" s="11" t="s">
        <v>6649</v>
      </c>
      <c r="B4057" s="11"/>
      <c r="C4057" s="3412">
        <v>8</v>
      </c>
      <c r="D4057" s="3412"/>
      <c r="E4057" s="3413"/>
      <c r="F4057" s="3414"/>
      <c r="G4057" s="3415"/>
    </row>
    <row r="4058" spans="1:7" x14ac:dyDescent="0.3">
      <c r="A4058" s="6" t="s">
        <v>6650</v>
      </c>
      <c r="B4058" s="6"/>
      <c r="C4058" s="3408">
        <v>6</v>
      </c>
      <c r="D4058" s="3408"/>
      <c r="E4058" s="3409"/>
      <c r="F4058" s="3410"/>
      <c r="G4058" s="3411"/>
    </row>
    <row r="4059" spans="1:7" x14ac:dyDescent="0.3">
      <c r="A4059" s="11" t="s">
        <v>6651</v>
      </c>
      <c r="B4059" s="11"/>
      <c r="C4059" s="3412">
        <v>1</v>
      </c>
      <c r="D4059" s="3412"/>
      <c r="E4059" s="3413"/>
      <c r="F4059" s="3414"/>
      <c r="G4059" s="3415"/>
    </row>
    <row r="4060" spans="1:7" x14ac:dyDescent="0.3">
      <c r="A4060" s="6" t="s">
        <v>6652</v>
      </c>
      <c r="B4060" s="6"/>
      <c r="C4060" s="3408">
        <v>4</v>
      </c>
      <c r="D4060" s="3408"/>
      <c r="E4060" s="3409"/>
      <c r="F4060" s="3410"/>
      <c r="G4060" s="3411"/>
    </row>
    <row r="4061" spans="1:7" x14ac:dyDescent="0.3">
      <c r="A4061" s="11" t="s">
        <v>6653</v>
      </c>
      <c r="B4061" s="11"/>
      <c r="C4061" s="3412">
        <v>2</v>
      </c>
      <c r="D4061" s="3412"/>
      <c r="E4061" s="3413"/>
      <c r="F4061" s="3414"/>
      <c r="G4061" s="3415"/>
    </row>
    <row r="4062" spans="1:7" x14ac:dyDescent="0.3">
      <c r="A4062" s="6" t="s">
        <v>6654</v>
      </c>
      <c r="B4062" s="6"/>
      <c r="C4062" s="3408">
        <v>5</v>
      </c>
      <c r="D4062" s="3408"/>
      <c r="E4062" s="3409"/>
      <c r="F4062" s="3410"/>
      <c r="G4062" s="3411"/>
    </row>
    <row r="4063" spans="1:7" x14ac:dyDescent="0.3">
      <c r="A4063" s="11" t="s">
        <v>6655</v>
      </c>
      <c r="B4063" s="11"/>
      <c r="C4063" s="3412">
        <v>6</v>
      </c>
      <c r="D4063" s="3412"/>
      <c r="E4063" s="3413"/>
      <c r="F4063" s="3414"/>
      <c r="G4063" s="3415"/>
    </row>
    <row r="4064" spans="1:7" x14ac:dyDescent="0.3">
      <c r="A4064" s="6" t="s">
        <v>6656</v>
      </c>
      <c r="B4064" s="6"/>
      <c r="C4064" s="3408">
        <v>15</v>
      </c>
      <c r="D4064" s="3408"/>
      <c r="E4064" s="3409"/>
      <c r="F4064" s="3410"/>
      <c r="G4064" s="3411"/>
    </row>
    <row r="4065" spans="1:7" x14ac:dyDescent="0.3">
      <c r="A4065" s="11" t="s">
        <v>6657</v>
      </c>
      <c r="B4065" s="11"/>
      <c r="C4065" s="3412">
        <v>2</v>
      </c>
      <c r="D4065" s="3412"/>
      <c r="E4065" s="3413"/>
      <c r="F4065" s="3414"/>
      <c r="G4065" s="3415"/>
    </row>
    <row r="4066" spans="1:7" x14ac:dyDescent="0.3">
      <c r="A4066" s="6" t="s">
        <v>6658</v>
      </c>
      <c r="B4066" s="6"/>
      <c r="C4066" s="3408">
        <v>6</v>
      </c>
      <c r="D4066" s="3408"/>
      <c r="E4066" s="3409"/>
      <c r="F4066" s="3410"/>
      <c r="G4066" s="3411"/>
    </row>
    <row r="4067" spans="1:7" x14ac:dyDescent="0.3">
      <c r="A4067" s="11" t="s">
        <v>6659</v>
      </c>
      <c r="B4067" s="11"/>
      <c r="C4067" s="3412">
        <v>1</v>
      </c>
      <c r="D4067" s="3412"/>
      <c r="E4067" s="3413"/>
      <c r="F4067" s="3414"/>
      <c r="G4067" s="3415"/>
    </row>
    <row r="4068" spans="1:7" x14ac:dyDescent="0.3">
      <c r="A4068" s="6" t="s">
        <v>6660</v>
      </c>
      <c r="B4068" s="6"/>
      <c r="C4068" s="3408">
        <v>1</v>
      </c>
      <c r="D4068" s="3408"/>
      <c r="E4068" s="3409"/>
      <c r="F4068" s="3410"/>
      <c r="G4068" s="3411"/>
    </row>
    <row r="4069" spans="1:7" x14ac:dyDescent="0.3">
      <c r="A4069" s="11" t="s">
        <v>6661</v>
      </c>
      <c r="B4069" s="11"/>
      <c r="C4069" s="3412">
        <v>1</v>
      </c>
      <c r="D4069" s="3412"/>
      <c r="E4069" s="3413"/>
      <c r="F4069" s="3414"/>
      <c r="G4069" s="3415"/>
    </row>
    <row r="4070" spans="1:7" x14ac:dyDescent="0.3">
      <c r="A4070" s="6" t="s">
        <v>6662</v>
      </c>
      <c r="B4070" s="6"/>
      <c r="C4070" s="3408">
        <v>305</v>
      </c>
      <c r="D4070" s="3408"/>
      <c r="E4070" s="3409"/>
      <c r="F4070" s="3410"/>
      <c r="G4070" s="3411"/>
    </row>
    <row r="4071" spans="1:7" x14ac:dyDescent="0.3">
      <c r="A4071" s="11" t="s">
        <v>6663</v>
      </c>
      <c r="B4071" s="11"/>
      <c r="C4071" s="3412">
        <v>1</v>
      </c>
      <c r="D4071" s="3412"/>
      <c r="E4071" s="3413"/>
      <c r="F4071" s="3414"/>
      <c r="G4071" s="3415"/>
    </row>
    <row r="4072" spans="1:7" x14ac:dyDescent="0.3">
      <c r="A4072" s="6" t="s">
        <v>6664</v>
      </c>
      <c r="B4072" s="6"/>
      <c r="C4072" s="3408">
        <v>10</v>
      </c>
      <c r="D4072" s="3408"/>
      <c r="E4072" s="3409"/>
      <c r="F4072" s="3410"/>
      <c r="G4072" s="3411"/>
    </row>
    <row r="4073" spans="1:7" x14ac:dyDescent="0.3">
      <c r="A4073" s="11" t="s">
        <v>6665</v>
      </c>
      <c r="B4073" s="11"/>
      <c r="C4073" s="3412">
        <v>4</v>
      </c>
      <c r="D4073" s="3412"/>
      <c r="E4073" s="3413"/>
      <c r="F4073" s="3414"/>
      <c r="G4073" s="3415"/>
    </row>
    <row r="4074" spans="1:7" x14ac:dyDescent="0.3">
      <c r="A4074" s="6" t="s">
        <v>6666</v>
      </c>
      <c r="B4074" s="6"/>
      <c r="C4074" s="3408">
        <v>1</v>
      </c>
      <c r="D4074" s="3408"/>
      <c r="E4074" s="3409"/>
      <c r="F4074" s="3410"/>
      <c r="G4074" s="3411"/>
    </row>
    <row r="4075" spans="1:7" x14ac:dyDescent="0.3">
      <c r="A4075" s="11" t="s">
        <v>6667</v>
      </c>
      <c r="B4075" s="11"/>
      <c r="C4075" s="3412">
        <v>1</v>
      </c>
      <c r="D4075" s="3412"/>
      <c r="E4075" s="3413"/>
      <c r="F4075" s="3414"/>
      <c r="G4075" s="3415"/>
    </row>
    <row r="4076" spans="1:7" x14ac:dyDescent="0.3">
      <c r="A4076" s="6" t="s">
        <v>6668</v>
      </c>
      <c r="B4076" s="6"/>
      <c r="C4076" s="3408">
        <v>3</v>
      </c>
      <c r="D4076" s="3408"/>
      <c r="E4076" s="3409"/>
      <c r="F4076" s="3410"/>
      <c r="G4076" s="3411"/>
    </row>
    <row r="4077" spans="1:7" x14ac:dyDescent="0.3">
      <c r="A4077" s="11" t="s">
        <v>6669</v>
      </c>
      <c r="B4077" s="11"/>
      <c r="C4077" s="3412">
        <v>2</v>
      </c>
      <c r="D4077" s="3412"/>
      <c r="E4077" s="3413"/>
      <c r="F4077" s="3414"/>
      <c r="G4077" s="3415"/>
    </row>
    <row r="4078" spans="1:7" x14ac:dyDescent="0.3">
      <c r="A4078" s="6" t="s">
        <v>6670</v>
      </c>
      <c r="B4078" s="6"/>
      <c r="C4078" s="3408">
        <v>3</v>
      </c>
      <c r="D4078" s="3408"/>
      <c r="E4078" s="3409"/>
      <c r="F4078" s="3410"/>
      <c r="G4078" s="3411"/>
    </row>
    <row r="4079" spans="1:7" x14ac:dyDescent="0.3">
      <c r="A4079" s="11" t="s">
        <v>6671</v>
      </c>
      <c r="B4079" s="11"/>
      <c r="C4079" s="3412">
        <v>1</v>
      </c>
      <c r="D4079" s="3412"/>
      <c r="E4079" s="3413"/>
      <c r="F4079" s="3414"/>
      <c r="G4079" s="3415"/>
    </row>
    <row r="4080" spans="1:7" x14ac:dyDescent="0.3">
      <c r="A4080" s="6" t="s">
        <v>6672</v>
      </c>
      <c r="B4080" s="6"/>
      <c r="C4080" s="3408">
        <v>5</v>
      </c>
      <c r="D4080" s="3408"/>
      <c r="E4080" s="3409"/>
      <c r="F4080" s="3410"/>
      <c r="G4080" s="3411"/>
    </row>
    <row r="4081" spans="1:7" x14ac:dyDescent="0.3">
      <c r="A4081" s="11" t="s">
        <v>6673</v>
      </c>
      <c r="B4081" s="11"/>
      <c r="C4081" s="3412">
        <v>1</v>
      </c>
      <c r="D4081" s="3412"/>
      <c r="E4081" s="3413"/>
      <c r="F4081" s="3414"/>
      <c r="G4081" s="3415"/>
    </row>
    <row r="4082" spans="1:7" x14ac:dyDescent="0.3">
      <c r="A4082" s="6" t="s">
        <v>6674</v>
      </c>
      <c r="B4082" s="6"/>
      <c r="C4082" s="3408">
        <v>6</v>
      </c>
      <c r="D4082" s="3408"/>
      <c r="E4082" s="3409"/>
      <c r="F4082" s="3410"/>
      <c r="G4082" s="3411"/>
    </row>
    <row r="4083" spans="1:7" x14ac:dyDescent="0.3">
      <c r="A4083" s="11" t="s">
        <v>6675</v>
      </c>
      <c r="B4083" s="11"/>
      <c r="C4083" s="3412">
        <v>3</v>
      </c>
      <c r="D4083" s="3412"/>
      <c r="E4083" s="3413"/>
      <c r="F4083" s="3414"/>
      <c r="G4083" s="3415"/>
    </row>
    <row r="4084" spans="1:7" x14ac:dyDescent="0.3">
      <c r="A4084" s="6" t="s">
        <v>6676</v>
      </c>
      <c r="B4084" s="6"/>
      <c r="C4084" s="3408">
        <v>1</v>
      </c>
      <c r="D4084" s="3408"/>
      <c r="E4084" s="3409"/>
      <c r="F4084" s="3410"/>
      <c r="G4084" s="3411"/>
    </row>
    <row r="4085" spans="1:7" x14ac:dyDescent="0.3">
      <c r="A4085" s="11" t="s">
        <v>6677</v>
      </c>
      <c r="B4085" s="11"/>
      <c r="C4085" s="3412">
        <v>1</v>
      </c>
      <c r="D4085" s="3412"/>
      <c r="E4085" s="3413"/>
      <c r="F4085" s="3414"/>
      <c r="G4085" s="3415"/>
    </row>
    <row r="4086" spans="1:7" x14ac:dyDescent="0.3">
      <c r="A4086" s="6" t="s">
        <v>6678</v>
      </c>
      <c r="B4086" s="6"/>
      <c r="C4086" s="3408">
        <v>3</v>
      </c>
      <c r="D4086" s="3408"/>
      <c r="E4086" s="3409"/>
      <c r="F4086" s="3410"/>
      <c r="G4086" s="3411"/>
    </row>
    <row r="4087" spans="1:7" x14ac:dyDescent="0.3">
      <c r="A4087" s="11" t="s">
        <v>6679</v>
      </c>
      <c r="B4087" s="11"/>
      <c r="C4087" s="3412">
        <v>13</v>
      </c>
      <c r="D4087" s="3412"/>
      <c r="E4087" s="3413"/>
      <c r="F4087" s="3414"/>
      <c r="G4087" s="3415"/>
    </row>
    <row r="4088" spans="1:7" x14ac:dyDescent="0.3">
      <c r="A4088" s="6" t="s">
        <v>6680</v>
      </c>
      <c r="B4088" s="6"/>
      <c r="C4088" s="3408">
        <v>8</v>
      </c>
      <c r="D4088" s="3408"/>
      <c r="E4088" s="3409"/>
      <c r="F4088" s="3410"/>
      <c r="G4088" s="3411"/>
    </row>
    <row r="4089" spans="1:7" x14ac:dyDescent="0.3">
      <c r="A4089" s="11" t="s">
        <v>6681</v>
      </c>
      <c r="B4089" s="11"/>
      <c r="C4089" s="3412">
        <v>1</v>
      </c>
      <c r="D4089" s="3412"/>
      <c r="E4089" s="3413"/>
      <c r="F4089" s="3414"/>
      <c r="G4089" s="3415"/>
    </row>
    <row r="4090" spans="1:7" x14ac:dyDescent="0.3">
      <c r="A4090" s="6" t="s">
        <v>6682</v>
      </c>
      <c r="B4090" s="6"/>
      <c r="C4090" s="3408">
        <v>2</v>
      </c>
      <c r="D4090" s="3408"/>
      <c r="E4090" s="3409"/>
      <c r="F4090" s="3410"/>
      <c r="G4090" s="3411"/>
    </row>
    <row r="4091" spans="1:7" x14ac:dyDescent="0.3">
      <c r="A4091" s="11" t="s">
        <v>6683</v>
      </c>
      <c r="B4091" s="11"/>
      <c r="C4091" s="3412">
        <v>10</v>
      </c>
      <c r="D4091" s="3412"/>
      <c r="E4091" s="3413"/>
      <c r="F4091" s="3414"/>
      <c r="G4091" s="3415"/>
    </row>
    <row r="4092" spans="1:7" x14ac:dyDescent="0.3">
      <c r="A4092" s="6" t="s">
        <v>6684</v>
      </c>
      <c r="B4092" s="6"/>
      <c r="C4092" s="3408">
        <v>13</v>
      </c>
      <c r="D4092" s="3408"/>
      <c r="E4092" s="3409"/>
      <c r="F4092" s="3410"/>
      <c r="G4092" s="3411"/>
    </row>
    <row r="4093" spans="1:7" x14ac:dyDescent="0.3">
      <c r="A4093" s="11" t="s">
        <v>6685</v>
      </c>
      <c r="B4093" s="11"/>
      <c r="C4093" s="3412">
        <v>176</v>
      </c>
      <c r="D4093" s="3412"/>
      <c r="E4093" s="3413"/>
      <c r="F4093" s="3414"/>
      <c r="G4093" s="3415"/>
    </row>
    <row r="4094" spans="1:7" x14ac:dyDescent="0.3">
      <c r="A4094" s="6" t="s">
        <v>6686</v>
      </c>
      <c r="B4094" s="6"/>
      <c r="C4094" s="3408">
        <v>4</v>
      </c>
      <c r="D4094" s="3408"/>
      <c r="E4094" s="3409"/>
      <c r="F4094" s="3410"/>
      <c r="G4094" s="3411"/>
    </row>
    <row r="4095" spans="1:7" x14ac:dyDescent="0.3">
      <c r="A4095" s="11" t="s">
        <v>6687</v>
      </c>
      <c r="B4095" s="11"/>
      <c r="C4095" s="3412">
        <v>3</v>
      </c>
      <c r="D4095" s="3412"/>
      <c r="E4095" s="3413"/>
      <c r="F4095" s="3414"/>
      <c r="G4095" s="3415"/>
    </row>
    <row r="4096" spans="1:7" x14ac:dyDescent="0.3">
      <c r="A4096" s="6" t="s">
        <v>6688</v>
      </c>
      <c r="B4096" s="6"/>
      <c r="C4096" s="3408">
        <v>8</v>
      </c>
      <c r="D4096" s="3408"/>
      <c r="E4096" s="3409"/>
      <c r="F4096" s="3410"/>
      <c r="G4096" s="3411"/>
    </row>
    <row r="4097" spans="1:7" x14ac:dyDescent="0.3">
      <c r="A4097" s="11" t="s">
        <v>6689</v>
      </c>
      <c r="B4097" s="11"/>
      <c r="C4097" s="3412">
        <v>5</v>
      </c>
      <c r="D4097" s="3412"/>
      <c r="E4097" s="3413"/>
      <c r="F4097" s="3414"/>
      <c r="G4097" s="3415"/>
    </row>
    <row r="4098" spans="1:7" x14ac:dyDescent="0.3">
      <c r="A4098" s="6" t="s">
        <v>6690</v>
      </c>
      <c r="B4098" s="6"/>
      <c r="C4098" s="3408">
        <v>2</v>
      </c>
      <c r="D4098" s="3408"/>
      <c r="E4098" s="3409"/>
      <c r="F4098" s="3410"/>
      <c r="G4098" s="3411"/>
    </row>
    <row r="4099" spans="1:7" x14ac:dyDescent="0.3">
      <c r="A4099" s="11" t="s">
        <v>6691</v>
      </c>
      <c r="B4099" s="11"/>
      <c r="C4099" s="3412">
        <v>1</v>
      </c>
      <c r="D4099" s="3412"/>
      <c r="E4099" s="3413"/>
      <c r="F4099" s="3414"/>
      <c r="G4099" s="3415"/>
    </row>
    <row r="4100" spans="1:7" x14ac:dyDescent="0.3">
      <c r="A4100" s="6" t="s">
        <v>6692</v>
      </c>
      <c r="B4100" s="6"/>
      <c r="C4100" s="3408">
        <v>1</v>
      </c>
      <c r="D4100" s="3408"/>
      <c r="E4100" s="3409"/>
      <c r="F4100" s="3410"/>
      <c r="G4100" s="3411"/>
    </row>
    <row r="4101" spans="1:7" x14ac:dyDescent="0.3">
      <c r="A4101" s="11" t="s">
        <v>6693</v>
      </c>
      <c r="B4101" s="11"/>
      <c r="C4101" s="3412">
        <v>499</v>
      </c>
      <c r="D4101" s="3412"/>
      <c r="E4101" s="3413"/>
      <c r="F4101" s="3414"/>
      <c r="G4101" s="3415"/>
    </row>
    <row r="4102" spans="1:7" x14ac:dyDescent="0.3">
      <c r="A4102" s="6" t="s">
        <v>6694</v>
      </c>
      <c r="B4102" s="6"/>
      <c r="C4102" s="3408">
        <v>2</v>
      </c>
      <c r="D4102" s="3408"/>
      <c r="E4102" s="3409"/>
      <c r="F4102" s="3410"/>
      <c r="G4102" s="3411"/>
    </row>
    <row r="4103" spans="1:7" x14ac:dyDescent="0.3">
      <c r="A4103" s="11" t="s">
        <v>6695</v>
      </c>
      <c r="B4103" s="11"/>
      <c r="C4103" s="3412">
        <v>3539</v>
      </c>
      <c r="D4103" s="3412"/>
      <c r="E4103" s="3413"/>
      <c r="F4103" s="3414"/>
      <c r="G4103" s="3415"/>
    </row>
    <row r="4104" spans="1:7" x14ac:dyDescent="0.3">
      <c r="A4104" s="6" t="s">
        <v>6466</v>
      </c>
      <c r="B4104" s="6"/>
      <c r="C4104" s="3408">
        <v>271</v>
      </c>
      <c r="D4104" s="3408"/>
      <c r="E4104" s="3409"/>
      <c r="F4104" s="3410"/>
      <c r="G4104" s="3411"/>
    </row>
    <row r="4105" spans="1:7" x14ac:dyDescent="0.3">
      <c r="A4105" s="11" t="s">
        <v>6696</v>
      </c>
      <c r="B4105" s="11"/>
      <c r="C4105" s="3412">
        <v>14</v>
      </c>
      <c r="D4105" s="3412"/>
      <c r="E4105" s="3413"/>
      <c r="F4105" s="3414"/>
      <c r="G4105" s="3415"/>
    </row>
    <row r="4106" spans="1:7" x14ac:dyDescent="0.3">
      <c r="A4106" s="6" t="s">
        <v>6697</v>
      </c>
      <c r="B4106" s="6"/>
      <c r="C4106" s="3408">
        <v>5</v>
      </c>
      <c r="D4106" s="3408"/>
      <c r="E4106" s="3409"/>
      <c r="F4106" s="3410"/>
      <c r="G4106" s="3411"/>
    </row>
    <row r="4107" spans="1:7" x14ac:dyDescent="0.3">
      <c r="A4107" s="11" t="s">
        <v>6698</v>
      </c>
      <c r="B4107" s="11"/>
      <c r="C4107" s="3412">
        <v>2</v>
      </c>
      <c r="D4107" s="3412"/>
      <c r="E4107" s="3413"/>
      <c r="F4107" s="3414"/>
      <c r="G4107" s="3415"/>
    </row>
    <row r="4108" spans="1:7" x14ac:dyDescent="0.3">
      <c r="A4108" s="6" t="s">
        <v>6699</v>
      </c>
      <c r="B4108" s="6"/>
      <c r="C4108" s="3408">
        <v>2</v>
      </c>
      <c r="D4108" s="3408"/>
      <c r="E4108" s="3409"/>
      <c r="F4108" s="3410"/>
      <c r="G4108" s="3411"/>
    </row>
    <row r="4109" spans="1:7" x14ac:dyDescent="0.3">
      <c r="A4109" s="11" t="s">
        <v>6700</v>
      </c>
      <c r="B4109" s="11"/>
      <c r="C4109" s="3412">
        <v>1</v>
      </c>
      <c r="D4109" s="3412"/>
      <c r="E4109" s="3413"/>
      <c r="F4109" s="3414"/>
      <c r="G4109" s="3415"/>
    </row>
    <row r="4110" spans="1:7" x14ac:dyDescent="0.3">
      <c r="A4110" s="6" t="s">
        <v>6701</v>
      </c>
      <c r="B4110" s="6"/>
      <c r="C4110" s="3408">
        <v>3</v>
      </c>
      <c r="D4110" s="3408"/>
      <c r="E4110" s="3409"/>
      <c r="F4110" s="3410"/>
      <c r="G4110" s="3411"/>
    </row>
    <row r="4111" spans="1:7" x14ac:dyDescent="0.3">
      <c r="A4111" s="11" t="s">
        <v>6702</v>
      </c>
      <c r="B4111" s="11"/>
      <c r="C4111" s="3412">
        <v>1</v>
      </c>
      <c r="D4111" s="3412"/>
      <c r="E4111" s="3413"/>
      <c r="F4111" s="3414"/>
      <c r="G4111" s="3415"/>
    </row>
    <row r="4112" spans="1:7" x14ac:dyDescent="0.3">
      <c r="A4112" s="6" t="s">
        <v>6703</v>
      </c>
      <c r="B4112" s="6"/>
      <c r="C4112" s="3408">
        <v>5</v>
      </c>
      <c r="D4112" s="3408"/>
      <c r="E4112" s="3409"/>
      <c r="F4112" s="3410"/>
      <c r="G4112" s="3411"/>
    </row>
    <row r="4113" spans="1:7" x14ac:dyDescent="0.3">
      <c r="A4113" s="11" t="s">
        <v>6576</v>
      </c>
      <c r="B4113" s="11"/>
      <c r="C4113" s="3412">
        <v>1</v>
      </c>
      <c r="D4113" s="3412"/>
      <c r="E4113" s="3413"/>
      <c r="F4113" s="3414"/>
      <c r="G4113" s="3415"/>
    </row>
    <row r="4114" spans="1:7" x14ac:dyDescent="0.3">
      <c r="A4114" s="6" t="s">
        <v>6704</v>
      </c>
      <c r="B4114" s="6"/>
      <c r="C4114" s="3408">
        <v>2</v>
      </c>
      <c r="D4114" s="3408"/>
      <c r="E4114" s="3409"/>
      <c r="F4114" s="3410"/>
      <c r="G4114" s="3411"/>
    </row>
    <row r="4115" spans="1:7" x14ac:dyDescent="0.3">
      <c r="A4115" s="11" t="s">
        <v>6705</v>
      </c>
      <c r="B4115" s="11"/>
      <c r="C4115" s="3412">
        <v>3</v>
      </c>
      <c r="D4115" s="3412"/>
      <c r="E4115" s="3413"/>
      <c r="F4115" s="3414"/>
      <c r="G4115" s="3415"/>
    </row>
    <row r="4116" spans="1:7" x14ac:dyDescent="0.3">
      <c r="A4116" s="6" t="s">
        <v>6706</v>
      </c>
      <c r="B4116" s="6"/>
      <c r="C4116" s="3408">
        <v>1</v>
      </c>
      <c r="D4116" s="3408"/>
      <c r="E4116" s="3409"/>
      <c r="F4116" s="3410"/>
      <c r="G4116" s="3411"/>
    </row>
    <row r="4117" spans="1:7" x14ac:dyDescent="0.3">
      <c r="A4117" s="11" t="s">
        <v>6707</v>
      </c>
      <c r="B4117" s="11"/>
      <c r="C4117" s="3412">
        <v>1</v>
      </c>
      <c r="D4117" s="3412"/>
      <c r="E4117" s="3413"/>
      <c r="F4117" s="3414"/>
      <c r="G4117" s="3415"/>
    </row>
    <row r="4118" spans="1:7" x14ac:dyDescent="0.3">
      <c r="A4118" s="6" t="s">
        <v>6708</v>
      </c>
      <c r="B4118" s="6"/>
      <c r="C4118" s="3408">
        <v>1</v>
      </c>
      <c r="D4118" s="3408"/>
      <c r="E4118" s="3409"/>
      <c r="F4118" s="3410"/>
      <c r="G4118" s="3411"/>
    </row>
    <row r="4119" spans="1:7" x14ac:dyDescent="0.3">
      <c r="A4119" s="11" t="s">
        <v>4520</v>
      </c>
      <c r="B4119" s="11"/>
      <c r="C4119" s="3412">
        <v>7</v>
      </c>
      <c r="D4119" s="3412"/>
      <c r="E4119" s="3413"/>
      <c r="F4119" s="3414"/>
      <c r="G4119" s="3415"/>
    </row>
    <row r="4120" spans="1:7" x14ac:dyDescent="0.3">
      <c r="A4120" s="6" t="s">
        <v>6709</v>
      </c>
      <c r="B4120" s="6"/>
      <c r="C4120" s="3408">
        <v>1</v>
      </c>
      <c r="D4120" s="3408"/>
      <c r="E4120" s="3409"/>
      <c r="F4120" s="3410"/>
      <c r="G4120" s="3411"/>
    </row>
    <row r="4121" spans="1:7" x14ac:dyDescent="0.3">
      <c r="A4121" s="11" t="s">
        <v>1019</v>
      </c>
      <c r="B4121" s="11" t="s">
        <v>1020</v>
      </c>
      <c r="C4121" s="3412">
        <v>1</v>
      </c>
      <c r="D4121" s="3412"/>
      <c r="E4121" s="3413"/>
      <c r="F4121" s="3414"/>
      <c r="G4121" s="3415"/>
    </row>
    <row r="4122" spans="1:7" x14ac:dyDescent="0.3">
      <c r="A4122" s="6" t="s">
        <v>6354</v>
      </c>
      <c r="B4122" s="6" t="s">
        <v>6355</v>
      </c>
      <c r="C4122" s="3408">
        <v>5017</v>
      </c>
      <c r="D4122" s="3408"/>
      <c r="E4122" s="3409"/>
      <c r="F4122" s="3410"/>
      <c r="G4122" s="3411"/>
    </row>
    <row r="4123" spans="1:7" x14ac:dyDescent="0.3">
      <c r="A4123" s="11" t="s">
        <v>6354</v>
      </c>
      <c r="B4123" s="11" t="s">
        <v>6356</v>
      </c>
      <c r="C4123" s="3412">
        <v>5018</v>
      </c>
      <c r="D4123" s="3412"/>
      <c r="E4123" s="3413">
        <v>0</v>
      </c>
      <c r="F4123" s="3414">
        <v>100</v>
      </c>
      <c r="G4123" s="3415">
        <v>0</v>
      </c>
    </row>
    <row r="4124" spans="1:7" x14ac:dyDescent="0.3">
      <c r="A4124" s="3449" t="s">
        <v>749</v>
      </c>
      <c r="B4124" s="3450"/>
      <c r="C4124" s="3450"/>
      <c r="D4124" s="3450"/>
      <c r="E4124" s="3450"/>
      <c r="F4124" s="3450"/>
      <c r="G4124" s="3450"/>
    </row>
    <row r="4125" spans="1:7" x14ac:dyDescent="0.3">
      <c r="A4125" s="11" t="s">
        <v>1019</v>
      </c>
      <c r="B4125" s="11" t="s">
        <v>1020</v>
      </c>
      <c r="C4125" s="3420">
        <v>1</v>
      </c>
      <c r="D4125" s="3420"/>
      <c r="E4125" s="3421"/>
      <c r="F4125" s="3422"/>
      <c r="G4125" s="3423"/>
    </row>
    <row r="4126" spans="1:7" x14ac:dyDescent="0.3">
      <c r="A4126" s="6" t="s">
        <v>6354</v>
      </c>
      <c r="B4126" s="6" t="s">
        <v>6355</v>
      </c>
      <c r="C4126" s="3416">
        <v>5004</v>
      </c>
      <c r="D4126" s="3416"/>
      <c r="E4126" s="3417"/>
      <c r="F4126" s="3418"/>
      <c r="G4126" s="3419"/>
    </row>
    <row r="4127" spans="1:7" x14ac:dyDescent="0.3">
      <c r="A4127" s="11" t="s">
        <v>6354</v>
      </c>
      <c r="B4127" s="11" t="s">
        <v>6356</v>
      </c>
      <c r="C4127" s="3420">
        <v>5005</v>
      </c>
      <c r="D4127" s="3420"/>
      <c r="E4127" s="3421">
        <v>0</v>
      </c>
      <c r="F4127" s="3422">
        <v>100</v>
      </c>
      <c r="G4127" s="3423">
        <v>0</v>
      </c>
    </row>
    <row r="4128" spans="1:7" x14ac:dyDescent="0.3">
      <c r="A4128" s="3449" t="s">
        <v>81</v>
      </c>
      <c r="B4128" s="3450"/>
      <c r="C4128" s="3450"/>
      <c r="D4128" s="3450"/>
      <c r="E4128" s="3450"/>
      <c r="F4128" s="3450"/>
      <c r="G4128" s="3450"/>
    </row>
    <row r="4129" spans="1:7" x14ac:dyDescent="0.3">
      <c r="A4129" s="11" t="s">
        <v>6357</v>
      </c>
      <c r="B4129" s="11"/>
      <c r="C4129" s="3428">
        <v>2611</v>
      </c>
      <c r="D4129" s="3428"/>
      <c r="E4129" s="3429"/>
      <c r="F4129" s="3430"/>
      <c r="G4129" s="3431"/>
    </row>
    <row r="4130" spans="1:7" x14ac:dyDescent="0.3">
      <c r="A4130" s="6" t="s">
        <v>6359</v>
      </c>
      <c r="B4130" s="6"/>
      <c r="C4130" s="3424">
        <v>1525</v>
      </c>
      <c r="D4130" s="3424"/>
      <c r="E4130" s="3425"/>
      <c r="F4130" s="3426"/>
      <c r="G4130" s="3427"/>
    </row>
    <row r="4131" spans="1:7" x14ac:dyDescent="0.3">
      <c r="A4131" s="11" t="s">
        <v>6358</v>
      </c>
      <c r="B4131" s="11"/>
      <c r="C4131" s="3428">
        <v>603</v>
      </c>
      <c r="D4131" s="3428"/>
      <c r="E4131" s="3429"/>
      <c r="F4131" s="3430"/>
      <c r="G4131" s="3431"/>
    </row>
    <row r="4132" spans="1:7" x14ac:dyDescent="0.3">
      <c r="A4132" s="6" t="s">
        <v>6360</v>
      </c>
      <c r="B4132" s="6"/>
      <c r="C4132" s="3424">
        <v>245</v>
      </c>
      <c r="D4132" s="3424"/>
      <c r="E4132" s="3425"/>
      <c r="F4132" s="3426"/>
      <c r="G4132" s="3427"/>
    </row>
    <row r="4133" spans="1:7" x14ac:dyDescent="0.3">
      <c r="A4133" s="11" t="s">
        <v>6361</v>
      </c>
      <c r="B4133" s="11"/>
      <c r="C4133" s="3428">
        <v>42</v>
      </c>
      <c r="D4133" s="3428"/>
      <c r="E4133" s="3429"/>
      <c r="F4133" s="3430"/>
      <c r="G4133" s="3431"/>
    </row>
    <row r="4134" spans="1:7" x14ac:dyDescent="0.3">
      <c r="A4134" s="6" t="s">
        <v>6362</v>
      </c>
      <c r="B4134" s="6"/>
      <c r="C4134" s="3424">
        <v>1</v>
      </c>
      <c r="D4134" s="3424"/>
      <c r="E4134" s="3425"/>
      <c r="F4134" s="3426"/>
      <c r="G4134" s="3427"/>
    </row>
    <row r="4135" spans="1:7" x14ac:dyDescent="0.3">
      <c r="A4135" s="11" t="s">
        <v>1019</v>
      </c>
      <c r="B4135" s="11" t="s">
        <v>1020</v>
      </c>
      <c r="C4135" s="3428">
        <v>1</v>
      </c>
      <c r="D4135" s="3428"/>
      <c r="E4135" s="3429"/>
      <c r="F4135" s="3430"/>
      <c r="G4135" s="3431"/>
    </row>
    <row r="4136" spans="1:7" x14ac:dyDescent="0.3">
      <c r="A4136" s="6" t="s">
        <v>6354</v>
      </c>
      <c r="B4136" s="6" t="s">
        <v>6355</v>
      </c>
      <c r="C4136" s="3424">
        <v>5027</v>
      </c>
      <c r="D4136" s="3424"/>
      <c r="E4136" s="3425"/>
      <c r="F4136" s="3426"/>
      <c r="G4136" s="3427"/>
    </row>
    <row r="4137" spans="1:7" x14ac:dyDescent="0.3">
      <c r="A4137" s="11" t="s">
        <v>6354</v>
      </c>
      <c r="B4137" s="11" t="s">
        <v>6356</v>
      </c>
      <c r="C4137" s="3428">
        <v>5028</v>
      </c>
      <c r="D4137" s="3428"/>
      <c r="E4137" s="3429">
        <v>0</v>
      </c>
      <c r="F4137" s="3430">
        <v>100</v>
      </c>
      <c r="G4137" s="3431">
        <v>0</v>
      </c>
    </row>
    <row r="4138" spans="1:7" x14ac:dyDescent="0.3">
      <c r="A4138" s="3449" t="s">
        <v>98</v>
      </c>
      <c r="B4138" s="3450"/>
      <c r="C4138" s="3450"/>
      <c r="D4138" s="3450"/>
      <c r="E4138" s="3450"/>
      <c r="F4138" s="3450"/>
      <c r="G4138" s="3450"/>
    </row>
    <row r="4139" spans="1:7" x14ac:dyDescent="0.3">
      <c r="A4139" s="11" t="s">
        <v>1296</v>
      </c>
      <c r="B4139" s="11"/>
      <c r="C4139" s="3436">
        <v>5</v>
      </c>
      <c r="D4139" s="3436"/>
      <c r="E4139" s="3437"/>
      <c r="F4139" s="3438"/>
      <c r="G4139" s="3439"/>
    </row>
    <row r="4140" spans="1:7" x14ac:dyDescent="0.3">
      <c r="A4140" s="6" t="s">
        <v>1306</v>
      </c>
      <c r="B4140" s="6"/>
      <c r="C4140" s="3432">
        <v>2</v>
      </c>
      <c r="D4140" s="3432"/>
      <c r="E4140" s="3433"/>
      <c r="F4140" s="3434"/>
      <c r="G4140" s="3435"/>
    </row>
    <row r="4141" spans="1:7" x14ac:dyDescent="0.3">
      <c r="A4141" s="11" t="s">
        <v>1328</v>
      </c>
      <c r="B4141" s="11"/>
      <c r="C4141" s="3436">
        <v>1</v>
      </c>
      <c r="D4141" s="3436"/>
      <c r="E4141" s="3437"/>
      <c r="F4141" s="3438"/>
      <c r="G4141" s="3439"/>
    </row>
    <row r="4142" spans="1:7" x14ac:dyDescent="0.3">
      <c r="A4142" s="6" t="s">
        <v>1350</v>
      </c>
      <c r="B4142" s="6"/>
      <c r="C4142" s="3432">
        <v>5</v>
      </c>
      <c r="D4142" s="3432"/>
      <c r="E4142" s="3433"/>
      <c r="F4142" s="3434"/>
      <c r="G4142" s="3435"/>
    </row>
    <row r="4143" spans="1:7" x14ac:dyDescent="0.3">
      <c r="A4143" s="11" t="s">
        <v>1366</v>
      </c>
      <c r="B4143" s="11"/>
      <c r="C4143" s="3436">
        <v>1</v>
      </c>
      <c r="D4143" s="3436"/>
      <c r="E4143" s="3437"/>
      <c r="F4143" s="3438"/>
      <c r="G4143" s="3439"/>
    </row>
    <row r="4144" spans="1:7" x14ac:dyDescent="0.3">
      <c r="A4144" s="6" t="s">
        <v>1372</v>
      </c>
      <c r="B4144" s="6"/>
      <c r="C4144" s="3432">
        <v>10</v>
      </c>
      <c r="D4144" s="3432"/>
      <c r="E4144" s="3433"/>
      <c r="F4144" s="3434"/>
      <c r="G4144" s="3435"/>
    </row>
    <row r="4145" spans="1:7" x14ac:dyDescent="0.3">
      <c r="A4145" s="11" t="s">
        <v>1384</v>
      </c>
      <c r="B4145" s="11"/>
      <c r="C4145" s="3436">
        <v>14</v>
      </c>
      <c r="D4145" s="3436"/>
      <c r="E4145" s="3437"/>
      <c r="F4145" s="3438"/>
      <c r="G4145" s="3439"/>
    </row>
    <row r="4146" spans="1:7" x14ac:dyDescent="0.3">
      <c r="A4146" s="6" t="s">
        <v>1390</v>
      </c>
      <c r="B4146" s="6"/>
      <c r="C4146" s="3432">
        <v>1</v>
      </c>
      <c r="D4146" s="3432"/>
      <c r="E4146" s="3433"/>
      <c r="F4146" s="3434"/>
      <c r="G4146" s="3435"/>
    </row>
    <row r="4147" spans="1:7" x14ac:dyDescent="0.3">
      <c r="A4147" s="11" t="s">
        <v>1470</v>
      </c>
      <c r="B4147" s="11"/>
      <c r="C4147" s="3436">
        <v>4</v>
      </c>
      <c r="D4147" s="3436"/>
      <c r="E4147" s="3437"/>
      <c r="F4147" s="3438"/>
      <c r="G4147" s="3439"/>
    </row>
    <row r="4148" spans="1:7" x14ac:dyDescent="0.3">
      <c r="A4148" s="6" t="s">
        <v>1492</v>
      </c>
      <c r="B4148" s="6"/>
      <c r="C4148" s="3432">
        <v>3</v>
      </c>
      <c r="D4148" s="3432"/>
      <c r="E4148" s="3433"/>
      <c r="F4148" s="3434"/>
      <c r="G4148" s="3435"/>
    </row>
    <row r="4149" spans="1:7" x14ac:dyDescent="0.3">
      <c r="A4149" s="11" t="s">
        <v>1550</v>
      </c>
      <c r="B4149" s="11"/>
      <c r="C4149" s="3436">
        <v>1</v>
      </c>
      <c r="D4149" s="3436"/>
      <c r="E4149" s="3437"/>
      <c r="F4149" s="3438"/>
      <c r="G4149" s="3439"/>
    </row>
    <row r="4150" spans="1:7" x14ac:dyDescent="0.3">
      <c r="A4150" s="6" t="s">
        <v>1560</v>
      </c>
      <c r="B4150" s="6"/>
      <c r="C4150" s="3432">
        <v>1</v>
      </c>
      <c r="D4150" s="3432"/>
      <c r="E4150" s="3433"/>
      <c r="F4150" s="3434"/>
      <c r="G4150" s="3435"/>
    </row>
    <row r="4151" spans="1:7" x14ac:dyDescent="0.3">
      <c r="A4151" s="11" t="s">
        <v>1602</v>
      </c>
      <c r="B4151" s="11"/>
      <c r="C4151" s="3436">
        <v>2</v>
      </c>
      <c r="D4151" s="3436"/>
      <c r="E4151" s="3437"/>
      <c r="F4151" s="3438"/>
      <c r="G4151" s="3439"/>
    </row>
    <row r="4152" spans="1:7" x14ac:dyDescent="0.3">
      <c r="A4152" s="6" t="s">
        <v>1624</v>
      </c>
      <c r="B4152" s="6"/>
      <c r="C4152" s="3432">
        <v>1</v>
      </c>
      <c r="D4152" s="3432"/>
      <c r="E4152" s="3433"/>
      <c r="F4152" s="3434"/>
      <c r="G4152" s="3435"/>
    </row>
    <row r="4153" spans="1:7" x14ac:dyDescent="0.3">
      <c r="A4153" s="11" t="s">
        <v>1656</v>
      </c>
      <c r="B4153" s="11"/>
      <c r="C4153" s="3436">
        <v>5</v>
      </c>
      <c r="D4153" s="3436"/>
      <c r="E4153" s="3437"/>
      <c r="F4153" s="3438"/>
      <c r="G4153" s="3439"/>
    </row>
    <row r="4154" spans="1:7" x14ac:dyDescent="0.3">
      <c r="A4154" s="6" t="s">
        <v>1688</v>
      </c>
      <c r="B4154" s="6"/>
      <c r="C4154" s="3432">
        <v>3</v>
      </c>
      <c r="D4154" s="3432"/>
      <c r="E4154" s="3433"/>
      <c r="F4154" s="3434"/>
      <c r="G4154" s="3435"/>
    </row>
    <row r="4155" spans="1:7" x14ac:dyDescent="0.3">
      <c r="A4155" s="11" t="s">
        <v>1702</v>
      </c>
      <c r="B4155" s="11"/>
      <c r="C4155" s="3436">
        <v>4</v>
      </c>
      <c r="D4155" s="3436"/>
      <c r="E4155" s="3437"/>
      <c r="F4155" s="3438"/>
      <c r="G4155" s="3439"/>
    </row>
    <row r="4156" spans="1:7" x14ac:dyDescent="0.3">
      <c r="A4156" s="6" t="s">
        <v>1768</v>
      </c>
      <c r="B4156" s="6"/>
      <c r="C4156" s="3432">
        <v>4</v>
      </c>
      <c r="D4156" s="3432"/>
      <c r="E4156" s="3433"/>
      <c r="F4156" s="3434"/>
      <c r="G4156" s="3435"/>
    </row>
    <row r="4157" spans="1:7" x14ac:dyDescent="0.3">
      <c r="A4157" s="11" t="s">
        <v>1802</v>
      </c>
      <c r="B4157" s="11"/>
      <c r="C4157" s="3436">
        <v>1</v>
      </c>
      <c r="D4157" s="3436"/>
      <c r="E4157" s="3437"/>
      <c r="F4157" s="3438"/>
      <c r="G4157" s="3439"/>
    </row>
    <row r="4158" spans="1:7" x14ac:dyDescent="0.3">
      <c r="A4158" s="6" t="s">
        <v>1836</v>
      </c>
      <c r="B4158" s="6"/>
      <c r="C4158" s="3432">
        <v>3</v>
      </c>
      <c r="D4158" s="3432"/>
      <c r="E4158" s="3433"/>
      <c r="F4158" s="3434"/>
      <c r="G4158" s="3435"/>
    </row>
    <row r="4159" spans="1:7" x14ac:dyDescent="0.3">
      <c r="A4159" s="11" t="s">
        <v>1896</v>
      </c>
      <c r="B4159" s="11"/>
      <c r="C4159" s="3436">
        <v>3</v>
      </c>
      <c r="D4159" s="3436"/>
      <c r="E4159" s="3437"/>
      <c r="F4159" s="3438"/>
      <c r="G4159" s="3439"/>
    </row>
    <row r="4160" spans="1:7" x14ac:dyDescent="0.3">
      <c r="A4160" s="6" t="s">
        <v>1908</v>
      </c>
      <c r="B4160" s="6"/>
      <c r="C4160" s="3432">
        <v>3</v>
      </c>
      <c r="D4160" s="3432"/>
      <c r="E4160" s="3433"/>
      <c r="F4160" s="3434"/>
      <c r="G4160" s="3435"/>
    </row>
    <row r="4161" spans="1:7" x14ac:dyDescent="0.3">
      <c r="A4161" s="11" t="s">
        <v>1988</v>
      </c>
      <c r="B4161" s="11"/>
      <c r="C4161" s="3436">
        <v>7</v>
      </c>
      <c r="D4161" s="3436"/>
      <c r="E4161" s="3437"/>
      <c r="F4161" s="3438"/>
      <c r="G4161" s="3439"/>
    </row>
    <row r="4162" spans="1:7" x14ac:dyDescent="0.3">
      <c r="A4162" s="6" t="s">
        <v>1998</v>
      </c>
      <c r="B4162" s="6"/>
      <c r="C4162" s="3432">
        <v>1</v>
      </c>
      <c r="D4162" s="3432"/>
      <c r="E4162" s="3433"/>
      <c r="F4162" s="3434"/>
      <c r="G4162" s="3435"/>
    </row>
    <row r="4163" spans="1:7" x14ac:dyDescent="0.3">
      <c r="A4163" s="11" t="s">
        <v>2012</v>
      </c>
      <c r="B4163" s="11"/>
      <c r="C4163" s="3436">
        <v>1</v>
      </c>
      <c r="D4163" s="3436"/>
      <c r="E4163" s="3437"/>
      <c r="F4163" s="3438"/>
      <c r="G4163" s="3439"/>
    </row>
    <row r="4164" spans="1:7" x14ac:dyDescent="0.3">
      <c r="A4164" s="6" t="s">
        <v>2062</v>
      </c>
      <c r="B4164" s="6"/>
      <c r="C4164" s="3432">
        <v>1</v>
      </c>
      <c r="D4164" s="3432"/>
      <c r="E4164" s="3433"/>
      <c r="F4164" s="3434"/>
      <c r="G4164" s="3435"/>
    </row>
    <row r="4165" spans="1:7" x14ac:dyDescent="0.3">
      <c r="A4165" s="11" t="s">
        <v>2076</v>
      </c>
      <c r="B4165" s="11"/>
      <c r="C4165" s="3436">
        <v>2</v>
      </c>
      <c r="D4165" s="3436"/>
      <c r="E4165" s="3437"/>
      <c r="F4165" s="3438"/>
      <c r="G4165" s="3439"/>
    </row>
    <row r="4166" spans="1:7" x14ac:dyDescent="0.3">
      <c r="A4166" s="6" t="s">
        <v>2120</v>
      </c>
      <c r="B4166" s="6"/>
      <c r="C4166" s="3432">
        <v>1</v>
      </c>
      <c r="D4166" s="3432"/>
      <c r="E4166" s="3433"/>
      <c r="F4166" s="3434"/>
      <c r="G4166" s="3435"/>
    </row>
    <row r="4167" spans="1:7" x14ac:dyDescent="0.3">
      <c r="A4167" s="11" t="s">
        <v>2148</v>
      </c>
      <c r="B4167" s="11"/>
      <c r="C4167" s="3436">
        <v>7</v>
      </c>
      <c r="D4167" s="3436"/>
      <c r="E4167" s="3437"/>
      <c r="F4167" s="3438"/>
      <c r="G4167" s="3439"/>
    </row>
    <row r="4168" spans="1:7" x14ac:dyDescent="0.3">
      <c r="A4168" s="6" t="s">
        <v>2184</v>
      </c>
      <c r="B4168" s="6"/>
      <c r="C4168" s="3432">
        <v>1</v>
      </c>
      <c r="D4168" s="3432"/>
      <c r="E4168" s="3433"/>
      <c r="F4168" s="3434"/>
      <c r="G4168" s="3435"/>
    </row>
    <row r="4169" spans="1:7" x14ac:dyDescent="0.3">
      <c r="A4169" s="11" t="s">
        <v>2194</v>
      </c>
      <c r="B4169" s="11"/>
      <c r="C4169" s="3436">
        <v>4</v>
      </c>
      <c r="D4169" s="3436"/>
      <c r="E4169" s="3437"/>
      <c r="F4169" s="3438"/>
      <c r="G4169" s="3439"/>
    </row>
    <row r="4170" spans="1:7" x14ac:dyDescent="0.3">
      <c r="A4170" s="6" t="s">
        <v>2200</v>
      </c>
      <c r="B4170" s="6"/>
      <c r="C4170" s="3432">
        <v>1</v>
      </c>
      <c r="D4170" s="3432"/>
      <c r="E4170" s="3433"/>
      <c r="F4170" s="3434"/>
      <c r="G4170" s="3435"/>
    </row>
    <row r="4171" spans="1:7" x14ac:dyDescent="0.3">
      <c r="A4171" s="11" t="s">
        <v>2202</v>
      </c>
      <c r="B4171" s="11"/>
      <c r="C4171" s="3436">
        <v>2</v>
      </c>
      <c r="D4171" s="3436"/>
      <c r="E4171" s="3437"/>
      <c r="F4171" s="3438"/>
      <c r="G4171" s="3439"/>
    </row>
    <row r="4172" spans="1:7" x14ac:dyDescent="0.3">
      <c r="A4172" s="6" t="s">
        <v>2232</v>
      </c>
      <c r="B4172" s="6"/>
      <c r="C4172" s="3432">
        <v>1</v>
      </c>
      <c r="D4172" s="3432"/>
      <c r="E4172" s="3433"/>
      <c r="F4172" s="3434"/>
      <c r="G4172" s="3435"/>
    </row>
    <row r="4173" spans="1:7" x14ac:dyDescent="0.3">
      <c r="A4173" s="11" t="s">
        <v>2256</v>
      </c>
      <c r="B4173" s="11"/>
      <c r="C4173" s="3436">
        <v>1</v>
      </c>
      <c r="D4173" s="3436"/>
      <c r="E4173" s="3437"/>
      <c r="F4173" s="3438"/>
      <c r="G4173" s="3439"/>
    </row>
    <row r="4174" spans="1:7" x14ac:dyDescent="0.3">
      <c r="A4174" s="6" t="s">
        <v>2272</v>
      </c>
      <c r="B4174" s="6"/>
      <c r="C4174" s="3432">
        <v>1</v>
      </c>
      <c r="D4174" s="3432"/>
      <c r="E4174" s="3433"/>
      <c r="F4174" s="3434"/>
      <c r="G4174" s="3435"/>
    </row>
    <row r="4175" spans="1:7" x14ac:dyDescent="0.3">
      <c r="A4175" s="11" t="s">
        <v>2280</v>
      </c>
      <c r="B4175" s="11"/>
      <c r="C4175" s="3436">
        <v>1</v>
      </c>
      <c r="D4175" s="3436"/>
      <c r="E4175" s="3437"/>
      <c r="F4175" s="3438"/>
      <c r="G4175" s="3439"/>
    </row>
    <row r="4176" spans="1:7" x14ac:dyDescent="0.3">
      <c r="A4176" s="6" t="s">
        <v>2298</v>
      </c>
      <c r="B4176" s="6"/>
      <c r="C4176" s="3432">
        <v>3</v>
      </c>
      <c r="D4176" s="3432"/>
      <c r="E4176" s="3433"/>
      <c r="F4176" s="3434"/>
      <c r="G4176" s="3435"/>
    </row>
    <row r="4177" spans="1:7" x14ac:dyDescent="0.3">
      <c r="A4177" s="11" t="s">
        <v>2316</v>
      </c>
      <c r="B4177" s="11"/>
      <c r="C4177" s="3436">
        <v>1</v>
      </c>
      <c r="D4177" s="3436"/>
      <c r="E4177" s="3437"/>
      <c r="F4177" s="3438"/>
      <c r="G4177" s="3439"/>
    </row>
    <row r="4178" spans="1:7" x14ac:dyDescent="0.3">
      <c r="A4178" s="6" t="s">
        <v>2352</v>
      </c>
      <c r="B4178" s="6"/>
      <c r="C4178" s="3432">
        <v>3</v>
      </c>
      <c r="D4178" s="3432"/>
      <c r="E4178" s="3433"/>
      <c r="F4178" s="3434"/>
      <c r="G4178" s="3435"/>
    </row>
    <row r="4179" spans="1:7" x14ac:dyDescent="0.3">
      <c r="A4179" s="11" t="s">
        <v>2376</v>
      </c>
      <c r="B4179" s="11"/>
      <c r="C4179" s="3436">
        <v>8</v>
      </c>
      <c r="D4179" s="3436"/>
      <c r="E4179" s="3437"/>
      <c r="F4179" s="3438"/>
      <c r="G4179" s="3439"/>
    </row>
    <row r="4180" spans="1:7" x14ac:dyDescent="0.3">
      <c r="A4180" s="6" t="s">
        <v>2384</v>
      </c>
      <c r="B4180" s="6"/>
      <c r="C4180" s="3432">
        <v>3</v>
      </c>
      <c r="D4180" s="3432"/>
      <c r="E4180" s="3433"/>
      <c r="F4180" s="3434"/>
      <c r="G4180" s="3435"/>
    </row>
    <row r="4181" spans="1:7" x14ac:dyDescent="0.3">
      <c r="A4181" s="11" t="s">
        <v>2386</v>
      </c>
      <c r="B4181" s="11"/>
      <c r="C4181" s="3436">
        <v>5</v>
      </c>
      <c r="D4181" s="3436"/>
      <c r="E4181" s="3437"/>
      <c r="F4181" s="3438"/>
      <c r="G4181" s="3439"/>
    </row>
    <row r="4182" spans="1:7" x14ac:dyDescent="0.3">
      <c r="A4182" s="6" t="s">
        <v>2412</v>
      </c>
      <c r="B4182" s="6"/>
      <c r="C4182" s="3432">
        <v>3</v>
      </c>
      <c r="D4182" s="3432"/>
      <c r="E4182" s="3433"/>
      <c r="F4182" s="3434"/>
      <c r="G4182" s="3435"/>
    </row>
    <row r="4183" spans="1:7" x14ac:dyDescent="0.3">
      <c r="A4183" s="11" t="s">
        <v>2438</v>
      </c>
      <c r="B4183" s="11"/>
      <c r="C4183" s="3436">
        <v>1</v>
      </c>
      <c r="D4183" s="3436"/>
      <c r="E4183" s="3437"/>
      <c r="F4183" s="3438"/>
      <c r="G4183" s="3439"/>
    </row>
    <row r="4184" spans="1:7" x14ac:dyDescent="0.3">
      <c r="A4184" s="6" t="s">
        <v>2446</v>
      </c>
      <c r="B4184" s="6"/>
      <c r="C4184" s="3432">
        <v>17</v>
      </c>
      <c r="D4184" s="3432"/>
      <c r="E4184" s="3433"/>
      <c r="F4184" s="3434"/>
      <c r="G4184" s="3435"/>
    </row>
    <row r="4185" spans="1:7" x14ac:dyDescent="0.3">
      <c r="A4185" s="11" t="s">
        <v>6710</v>
      </c>
      <c r="B4185" s="11"/>
      <c r="C4185" s="3436">
        <v>1</v>
      </c>
      <c r="D4185" s="3436"/>
      <c r="E4185" s="3437"/>
      <c r="F4185" s="3438"/>
      <c r="G4185" s="3439"/>
    </row>
    <row r="4186" spans="1:7" x14ac:dyDescent="0.3">
      <c r="A4186" s="6" t="s">
        <v>2658</v>
      </c>
      <c r="B4186" s="6"/>
      <c r="C4186" s="3432">
        <v>3</v>
      </c>
      <c r="D4186" s="3432"/>
      <c r="E4186" s="3433"/>
      <c r="F4186" s="3434"/>
      <c r="G4186" s="3435"/>
    </row>
    <row r="4187" spans="1:7" x14ac:dyDescent="0.3">
      <c r="A4187" s="11" t="s">
        <v>2684</v>
      </c>
      <c r="B4187" s="11"/>
      <c r="C4187" s="3436">
        <v>1</v>
      </c>
      <c r="D4187" s="3436"/>
      <c r="E4187" s="3437"/>
      <c r="F4187" s="3438"/>
      <c r="G4187" s="3439"/>
    </row>
    <row r="4188" spans="1:7" x14ac:dyDescent="0.3">
      <c r="A4188" s="6" t="s">
        <v>2748</v>
      </c>
      <c r="B4188" s="6"/>
      <c r="C4188" s="3432">
        <v>1</v>
      </c>
      <c r="D4188" s="3432"/>
      <c r="E4188" s="3433"/>
      <c r="F4188" s="3434"/>
      <c r="G4188" s="3435"/>
    </row>
    <row r="4189" spans="1:7" x14ac:dyDescent="0.3">
      <c r="A4189" s="11" t="s">
        <v>2824</v>
      </c>
      <c r="B4189" s="11"/>
      <c r="C4189" s="3436">
        <v>6</v>
      </c>
      <c r="D4189" s="3436"/>
      <c r="E4189" s="3437"/>
      <c r="F4189" s="3438"/>
      <c r="G4189" s="3439"/>
    </row>
    <row r="4190" spans="1:7" x14ac:dyDescent="0.3">
      <c r="A4190" s="6" t="s">
        <v>2848</v>
      </c>
      <c r="B4190" s="6"/>
      <c r="C4190" s="3432">
        <v>12</v>
      </c>
      <c r="D4190" s="3432"/>
      <c r="E4190" s="3433"/>
      <c r="F4190" s="3434"/>
      <c r="G4190" s="3435"/>
    </row>
    <row r="4191" spans="1:7" x14ac:dyDescent="0.3">
      <c r="A4191" s="11" t="s">
        <v>2896</v>
      </c>
      <c r="B4191" s="11"/>
      <c r="C4191" s="3436">
        <v>4799</v>
      </c>
      <c r="D4191" s="3436"/>
      <c r="E4191" s="3437"/>
      <c r="F4191" s="3438"/>
      <c r="G4191" s="3439"/>
    </row>
    <row r="4192" spans="1:7" x14ac:dyDescent="0.3">
      <c r="A4192" s="6" t="s">
        <v>2968</v>
      </c>
      <c r="B4192" s="6"/>
      <c r="C4192" s="3432">
        <v>4</v>
      </c>
      <c r="D4192" s="3432"/>
      <c r="E4192" s="3433"/>
      <c r="F4192" s="3434"/>
      <c r="G4192" s="3435"/>
    </row>
    <row r="4193" spans="1:7" x14ac:dyDescent="0.3">
      <c r="A4193" s="11" t="s">
        <v>2994</v>
      </c>
      <c r="B4193" s="11"/>
      <c r="C4193" s="3436">
        <v>1</v>
      </c>
      <c r="D4193" s="3436"/>
      <c r="E4193" s="3437"/>
      <c r="F4193" s="3438"/>
      <c r="G4193" s="3439"/>
    </row>
    <row r="4194" spans="1:7" x14ac:dyDescent="0.3">
      <c r="A4194" s="6" t="s">
        <v>1019</v>
      </c>
      <c r="B4194" s="6" t="s">
        <v>1020</v>
      </c>
      <c r="C4194" s="3432">
        <v>34</v>
      </c>
      <c r="D4194" s="3432"/>
      <c r="E4194" s="3433"/>
      <c r="F4194" s="3434"/>
      <c r="G4194" s="3435"/>
    </row>
    <row r="4195" spans="1:7" x14ac:dyDescent="0.3">
      <c r="A4195" s="11" t="s">
        <v>6354</v>
      </c>
      <c r="B4195" s="11" t="s">
        <v>6355</v>
      </c>
      <c r="C4195" s="3436">
        <v>4981</v>
      </c>
      <c r="D4195" s="3436"/>
      <c r="E4195" s="3437"/>
      <c r="F4195" s="3438"/>
      <c r="G4195" s="3439"/>
    </row>
    <row r="4196" spans="1:7" x14ac:dyDescent="0.3">
      <c r="A4196" s="6" t="s">
        <v>6354</v>
      </c>
      <c r="B4196" s="6" t="s">
        <v>6356</v>
      </c>
      <c r="C4196" s="3432">
        <v>5015</v>
      </c>
      <c r="D4196" s="3432"/>
      <c r="E4196" s="3433">
        <v>0</v>
      </c>
      <c r="F4196" s="3434">
        <v>100</v>
      </c>
      <c r="G4196" s="3435">
        <v>0</v>
      </c>
    </row>
    <row r="4197" spans="1:7" x14ac:dyDescent="0.3">
      <c r="A4197" s="3449" t="s">
        <v>137</v>
      </c>
      <c r="B4197" s="3450"/>
      <c r="C4197" s="3450"/>
      <c r="D4197" s="3450"/>
      <c r="E4197" s="3450"/>
      <c r="F4197" s="3450"/>
      <c r="G4197" s="3450"/>
    </row>
    <row r="4198" spans="1:7" x14ac:dyDescent="0.3">
      <c r="A4198" s="11" t="s">
        <v>6366</v>
      </c>
      <c r="B4198" s="11"/>
      <c r="C4198" s="3444">
        <v>2</v>
      </c>
      <c r="D4198" s="3444"/>
      <c r="E4198" s="3445"/>
      <c r="F4198" s="3446"/>
      <c r="G4198" s="3447"/>
    </row>
    <row r="4199" spans="1:7" x14ac:dyDescent="0.3">
      <c r="A4199" s="6" t="s">
        <v>5170</v>
      </c>
      <c r="B4199" s="6"/>
      <c r="C4199" s="3440">
        <v>5</v>
      </c>
      <c r="D4199" s="3440"/>
      <c r="E4199" s="3441"/>
      <c r="F4199" s="3442"/>
      <c r="G4199" s="3443"/>
    </row>
    <row r="4200" spans="1:7" x14ac:dyDescent="0.3">
      <c r="A4200" s="11" t="s">
        <v>6711</v>
      </c>
      <c r="B4200" s="11"/>
      <c r="C4200" s="3444">
        <v>3</v>
      </c>
      <c r="D4200" s="3444"/>
      <c r="E4200" s="3445"/>
      <c r="F4200" s="3446"/>
      <c r="G4200" s="3447"/>
    </row>
    <row r="4201" spans="1:7" x14ac:dyDescent="0.3">
      <c r="A4201" s="6" t="s">
        <v>6712</v>
      </c>
      <c r="B4201" s="6"/>
      <c r="C4201" s="3440">
        <v>3</v>
      </c>
      <c r="D4201" s="3440"/>
      <c r="E4201" s="3441"/>
      <c r="F4201" s="3442"/>
      <c r="G4201" s="3443"/>
    </row>
    <row r="4202" spans="1:7" x14ac:dyDescent="0.3">
      <c r="A4202" s="11" t="s">
        <v>4843</v>
      </c>
      <c r="B4202" s="11"/>
      <c r="C4202" s="3444">
        <v>2</v>
      </c>
      <c r="D4202" s="3444"/>
      <c r="E4202" s="3445"/>
      <c r="F4202" s="3446"/>
      <c r="G4202" s="3447"/>
    </row>
    <row r="4203" spans="1:7" x14ac:dyDescent="0.3">
      <c r="A4203" s="6" t="s">
        <v>6713</v>
      </c>
      <c r="B4203" s="6"/>
      <c r="C4203" s="3440">
        <v>5</v>
      </c>
      <c r="D4203" s="3440"/>
      <c r="E4203" s="3441"/>
      <c r="F4203" s="3442"/>
      <c r="G4203" s="3443"/>
    </row>
    <row r="4204" spans="1:7" x14ac:dyDescent="0.3">
      <c r="A4204" s="11" t="s">
        <v>6714</v>
      </c>
      <c r="B4204" s="11"/>
      <c r="C4204" s="3444">
        <v>3</v>
      </c>
      <c r="D4204" s="3444"/>
      <c r="E4204" s="3445"/>
      <c r="F4204" s="3446"/>
      <c r="G4204" s="3447"/>
    </row>
    <row r="4205" spans="1:7" x14ac:dyDescent="0.3">
      <c r="A4205" s="6" t="s">
        <v>6715</v>
      </c>
      <c r="B4205" s="6"/>
      <c r="C4205" s="3440">
        <v>4</v>
      </c>
      <c r="D4205" s="3440"/>
      <c r="E4205" s="3441"/>
      <c r="F4205" s="3442"/>
      <c r="G4205" s="3443"/>
    </row>
    <row r="4206" spans="1:7" x14ac:dyDescent="0.3">
      <c r="A4206" s="11" t="s">
        <v>6716</v>
      </c>
      <c r="B4206" s="11"/>
      <c r="C4206" s="3444">
        <v>3</v>
      </c>
      <c r="D4206" s="3444"/>
      <c r="E4206" s="3445"/>
      <c r="F4206" s="3446"/>
      <c r="G4206" s="3447"/>
    </row>
    <row r="4207" spans="1:7" x14ac:dyDescent="0.3">
      <c r="A4207" s="6" t="s">
        <v>6717</v>
      </c>
      <c r="B4207" s="6"/>
      <c r="C4207" s="3440">
        <v>7</v>
      </c>
      <c r="D4207" s="3440"/>
      <c r="E4207" s="3441"/>
      <c r="F4207" s="3442"/>
      <c r="G4207" s="3443"/>
    </row>
    <row r="4208" spans="1:7" x14ac:dyDescent="0.3">
      <c r="A4208" s="11" t="s">
        <v>6718</v>
      </c>
      <c r="B4208" s="11"/>
      <c r="C4208" s="3444">
        <v>1</v>
      </c>
      <c r="D4208" s="3444"/>
      <c r="E4208" s="3445"/>
      <c r="F4208" s="3446"/>
      <c r="G4208" s="3447"/>
    </row>
    <row r="4209" spans="1:7" x14ac:dyDescent="0.3">
      <c r="A4209" s="6" t="s">
        <v>6719</v>
      </c>
      <c r="B4209" s="6"/>
      <c r="C4209" s="3440">
        <v>1</v>
      </c>
      <c r="D4209" s="3440"/>
      <c r="E4209" s="3441"/>
      <c r="F4209" s="3442"/>
      <c r="G4209" s="3443"/>
    </row>
    <row r="4210" spans="1:7" x14ac:dyDescent="0.3">
      <c r="A4210" s="11" t="s">
        <v>6720</v>
      </c>
      <c r="B4210" s="11"/>
      <c r="C4210" s="3444">
        <v>4</v>
      </c>
      <c r="D4210" s="3444"/>
      <c r="E4210" s="3445"/>
      <c r="F4210" s="3446"/>
      <c r="G4210" s="3447"/>
    </row>
    <row r="4211" spans="1:7" x14ac:dyDescent="0.3">
      <c r="A4211" s="6" t="s">
        <v>6721</v>
      </c>
      <c r="B4211" s="6"/>
      <c r="C4211" s="3440">
        <v>2</v>
      </c>
      <c r="D4211" s="3440"/>
      <c r="E4211" s="3441"/>
      <c r="F4211" s="3442"/>
      <c r="G4211" s="3443"/>
    </row>
    <row r="4212" spans="1:7" x14ac:dyDescent="0.3">
      <c r="A4212" s="11" t="s">
        <v>6722</v>
      </c>
      <c r="B4212" s="11"/>
      <c r="C4212" s="3444">
        <v>1</v>
      </c>
      <c r="D4212" s="3444"/>
      <c r="E4212" s="3445"/>
      <c r="F4212" s="3446"/>
      <c r="G4212" s="3447"/>
    </row>
    <row r="4213" spans="1:7" x14ac:dyDescent="0.3">
      <c r="A4213" s="6" t="s">
        <v>6723</v>
      </c>
      <c r="B4213" s="6"/>
      <c r="C4213" s="3440">
        <v>7</v>
      </c>
      <c r="D4213" s="3440"/>
      <c r="E4213" s="3441"/>
      <c r="F4213" s="3442"/>
      <c r="G4213" s="3443"/>
    </row>
    <row r="4214" spans="1:7" x14ac:dyDescent="0.3">
      <c r="A4214" s="11" t="s">
        <v>6724</v>
      </c>
      <c r="B4214" s="11"/>
      <c r="C4214" s="3444">
        <v>1</v>
      </c>
      <c r="D4214" s="3444"/>
      <c r="E4214" s="3445"/>
      <c r="F4214" s="3446"/>
      <c r="G4214" s="3447"/>
    </row>
    <row r="4215" spans="1:7" x14ac:dyDescent="0.3">
      <c r="A4215" s="6" t="s">
        <v>6725</v>
      </c>
      <c r="B4215" s="6"/>
      <c r="C4215" s="3440">
        <v>5</v>
      </c>
      <c r="D4215" s="3440"/>
      <c r="E4215" s="3441"/>
      <c r="F4215" s="3442"/>
      <c r="G4215" s="3443"/>
    </row>
    <row r="4216" spans="1:7" x14ac:dyDescent="0.3">
      <c r="A4216" s="11" t="s">
        <v>6726</v>
      </c>
      <c r="B4216" s="11"/>
      <c r="C4216" s="3444">
        <v>1</v>
      </c>
      <c r="D4216" s="3444"/>
      <c r="E4216" s="3445"/>
      <c r="F4216" s="3446"/>
      <c r="G4216" s="3447"/>
    </row>
    <row r="4217" spans="1:7" x14ac:dyDescent="0.3">
      <c r="A4217" s="6" t="s">
        <v>3166</v>
      </c>
      <c r="B4217" s="6"/>
      <c r="C4217" s="3440">
        <v>2</v>
      </c>
      <c r="D4217" s="3440"/>
      <c r="E4217" s="3441"/>
      <c r="F4217" s="3442"/>
      <c r="G4217" s="3443"/>
    </row>
    <row r="4218" spans="1:7" x14ac:dyDescent="0.3">
      <c r="A4218" s="11" t="s">
        <v>6727</v>
      </c>
      <c r="B4218" s="11"/>
      <c r="C4218" s="3444">
        <v>1</v>
      </c>
      <c r="D4218" s="3444"/>
      <c r="E4218" s="3445"/>
      <c r="F4218" s="3446"/>
      <c r="G4218" s="3447"/>
    </row>
    <row r="4219" spans="1:7" x14ac:dyDescent="0.3">
      <c r="A4219" s="6" t="s">
        <v>6728</v>
      </c>
      <c r="B4219" s="6"/>
      <c r="C4219" s="3440">
        <v>1</v>
      </c>
      <c r="D4219" s="3440"/>
      <c r="E4219" s="3441"/>
      <c r="F4219" s="3442"/>
      <c r="G4219" s="3443"/>
    </row>
    <row r="4220" spans="1:7" x14ac:dyDescent="0.3">
      <c r="A4220" s="11" t="s">
        <v>3479</v>
      </c>
      <c r="B4220" s="11"/>
      <c r="C4220" s="3444">
        <v>5</v>
      </c>
      <c r="D4220" s="3444"/>
      <c r="E4220" s="3445"/>
      <c r="F4220" s="3446"/>
      <c r="G4220" s="3447"/>
    </row>
    <row r="4221" spans="1:7" x14ac:dyDescent="0.3">
      <c r="A4221" s="6" t="s">
        <v>6729</v>
      </c>
      <c r="B4221" s="6"/>
      <c r="C4221" s="3440">
        <v>9</v>
      </c>
      <c r="D4221" s="3440"/>
      <c r="E4221" s="3441"/>
      <c r="F4221" s="3442"/>
      <c r="G4221" s="3443"/>
    </row>
    <row r="4222" spans="1:7" x14ac:dyDescent="0.3">
      <c r="A4222" s="11" t="s">
        <v>6730</v>
      </c>
      <c r="B4222" s="11"/>
      <c r="C4222" s="3444">
        <v>18</v>
      </c>
      <c r="D4222" s="3444"/>
      <c r="E4222" s="3445"/>
      <c r="F4222" s="3446"/>
      <c r="G4222" s="3447"/>
    </row>
    <row r="4223" spans="1:7" x14ac:dyDescent="0.3">
      <c r="A4223" s="6" t="s">
        <v>6731</v>
      </c>
      <c r="B4223" s="6"/>
      <c r="C4223" s="3440">
        <v>3</v>
      </c>
      <c r="D4223" s="3440"/>
      <c r="E4223" s="3441"/>
      <c r="F4223" s="3442"/>
      <c r="G4223" s="3443"/>
    </row>
    <row r="4224" spans="1:7" x14ac:dyDescent="0.3">
      <c r="A4224" s="11" t="s">
        <v>6732</v>
      </c>
      <c r="B4224" s="11"/>
      <c r="C4224" s="3444">
        <v>2</v>
      </c>
      <c r="D4224" s="3444"/>
      <c r="E4224" s="3445"/>
      <c r="F4224" s="3446"/>
      <c r="G4224" s="3447"/>
    </row>
    <row r="4225" spans="1:7" x14ac:dyDescent="0.3">
      <c r="A4225" s="6" t="s">
        <v>6733</v>
      </c>
      <c r="B4225" s="6"/>
      <c r="C4225" s="3440">
        <v>4</v>
      </c>
      <c r="D4225" s="3440"/>
      <c r="E4225" s="3441"/>
      <c r="F4225" s="3442"/>
      <c r="G4225" s="3443"/>
    </row>
    <row r="4226" spans="1:7" x14ac:dyDescent="0.3">
      <c r="A4226" s="11" t="s">
        <v>6734</v>
      </c>
      <c r="B4226" s="11"/>
      <c r="C4226" s="3444">
        <v>4833</v>
      </c>
      <c r="D4226" s="3444"/>
      <c r="E4226" s="3445"/>
      <c r="F4226" s="3446"/>
      <c r="G4226" s="3447"/>
    </row>
    <row r="4227" spans="1:7" x14ac:dyDescent="0.3">
      <c r="A4227" s="6" t="s">
        <v>6735</v>
      </c>
      <c r="B4227" s="6"/>
      <c r="C4227" s="3440">
        <v>14</v>
      </c>
      <c r="D4227" s="3440"/>
      <c r="E4227" s="3441"/>
      <c r="F4227" s="3442"/>
      <c r="G4227" s="3443"/>
    </row>
    <row r="4228" spans="1:7" x14ac:dyDescent="0.3">
      <c r="A4228" s="11" t="s">
        <v>6736</v>
      </c>
      <c r="B4228" s="11"/>
      <c r="C4228" s="3444">
        <v>1</v>
      </c>
      <c r="D4228" s="3444"/>
      <c r="E4228" s="3445"/>
      <c r="F4228" s="3446"/>
      <c r="G4228" s="3447"/>
    </row>
    <row r="4229" spans="1:7" x14ac:dyDescent="0.3">
      <c r="A4229" s="6" t="s">
        <v>1019</v>
      </c>
      <c r="B4229" s="6" t="s">
        <v>1020</v>
      </c>
      <c r="C4229" s="3440">
        <v>67</v>
      </c>
      <c r="D4229" s="3440"/>
      <c r="E4229" s="3441"/>
      <c r="F4229" s="3442"/>
      <c r="G4229" s="3443"/>
    </row>
    <row r="4230" spans="1:7" x14ac:dyDescent="0.3">
      <c r="A4230" s="11" t="s">
        <v>6354</v>
      </c>
      <c r="B4230" s="11" t="s">
        <v>6355</v>
      </c>
      <c r="C4230" s="3444">
        <v>4953</v>
      </c>
      <c r="D4230" s="3444"/>
      <c r="E4230" s="3445"/>
      <c r="F4230" s="3446"/>
      <c r="G4230" s="3447"/>
    </row>
    <row r="4231" spans="1:7" x14ac:dyDescent="0.3">
      <c r="A4231" s="6" t="s">
        <v>6354</v>
      </c>
      <c r="B4231" s="6" t="s">
        <v>6356</v>
      </c>
      <c r="C4231" s="3440">
        <v>5020</v>
      </c>
      <c r="D4231" s="3440"/>
      <c r="E4231" s="3441">
        <v>0</v>
      </c>
      <c r="F4231" s="3442">
        <v>100</v>
      </c>
      <c r="G4231" s="3443">
        <v>0</v>
      </c>
    </row>
  </sheetData>
  <mergeCells count="435">
    <mergeCell ref="A2:G2"/>
    <mergeCell ref="A3:G3"/>
    <mergeCell ref="A6:G6"/>
    <mergeCell ref="A9:G9"/>
    <mergeCell ref="A44:G44"/>
    <mergeCell ref="A52:G52"/>
    <mergeCell ref="A56:G56"/>
    <mergeCell ref="A61:G61"/>
    <mergeCell ref="A66:G66"/>
    <mergeCell ref="A70:G70"/>
    <mergeCell ref="A76:G76"/>
    <mergeCell ref="A81:G81"/>
    <mergeCell ref="A87:G87"/>
    <mergeCell ref="A95:G95"/>
    <mergeCell ref="A106:G106"/>
    <mergeCell ref="A119:G119"/>
    <mergeCell ref="A136:G136"/>
    <mergeCell ref="A142:G142"/>
    <mergeCell ref="A151:G151"/>
    <mergeCell ref="A160:G160"/>
    <mergeCell ref="A170:G170"/>
    <mergeCell ref="A180:G180"/>
    <mergeCell ref="A210:G210"/>
    <mergeCell ref="A219:G219"/>
    <mergeCell ref="A228:G228"/>
    <mergeCell ref="A237:G237"/>
    <mergeCell ref="A246:G246"/>
    <mergeCell ref="A255:G255"/>
    <mergeCell ref="A263:G263"/>
    <mergeCell ref="A273:G273"/>
    <mergeCell ref="A282:G282"/>
    <mergeCell ref="A291:G291"/>
    <mergeCell ref="A301:G301"/>
    <mergeCell ref="A310:G310"/>
    <mergeCell ref="A319:G319"/>
    <mergeCell ref="A324:G324"/>
    <mergeCell ref="A337:G337"/>
    <mergeCell ref="A397:G397"/>
    <mergeCell ref="A403:G403"/>
    <mergeCell ref="A408:G408"/>
    <mergeCell ref="A413:G413"/>
    <mergeCell ref="A418:G418"/>
    <mergeCell ref="A423:G423"/>
    <mergeCell ref="A428:G428"/>
    <mergeCell ref="A432:G432"/>
    <mergeCell ref="A436:G436"/>
    <mergeCell ref="A441:G441"/>
    <mergeCell ref="A446:G446"/>
    <mergeCell ref="A450:G450"/>
    <mergeCell ref="A455:G455"/>
    <mergeCell ref="A460:G460"/>
    <mergeCell ref="A464:G464"/>
    <mergeCell ref="A469:G469"/>
    <mergeCell ref="A474:G474"/>
    <mergeCell ref="A479:G479"/>
    <mergeCell ref="A484:G484"/>
    <mergeCell ref="A489:G489"/>
    <mergeCell ref="A494:G494"/>
    <mergeCell ref="A499:G499"/>
    <mergeCell ref="A504:G504"/>
    <mergeCell ref="A509:G509"/>
    <mergeCell ref="A514:G514"/>
    <mergeCell ref="A519:G519"/>
    <mergeCell ref="A524:G524"/>
    <mergeCell ref="A529:G529"/>
    <mergeCell ref="A533:G533"/>
    <mergeCell ref="A538:G538"/>
    <mergeCell ref="A549:G549"/>
    <mergeCell ref="A581:G581"/>
    <mergeCell ref="A586:G586"/>
    <mergeCell ref="A591:G591"/>
    <mergeCell ref="A600:G600"/>
    <mergeCell ref="A607:G607"/>
    <mergeCell ref="A616:G616"/>
    <mergeCell ref="A632:G632"/>
    <mergeCell ref="A639:G639"/>
    <mergeCell ref="A652:G652"/>
    <mergeCell ref="A657:G657"/>
    <mergeCell ref="A662:G662"/>
    <mergeCell ref="A666:G666"/>
    <mergeCell ref="A672:G672"/>
    <mergeCell ref="A677:G677"/>
    <mergeCell ref="A682:G682"/>
    <mergeCell ref="A731:G731"/>
    <mergeCell ref="A735:G735"/>
    <mergeCell ref="A739:G739"/>
    <mergeCell ref="A743:G743"/>
    <mergeCell ref="A747:G747"/>
    <mergeCell ref="A752:G752"/>
    <mergeCell ref="A763:G763"/>
    <mergeCell ref="A768:G768"/>
    <mergeCell ref="A773:G773"/>
    <mergeCell ref="A784:G784"/>
    <mergeCell ref="A788:G788"/>
    <mergeCell ref="A802:G802"/>
    <mergeCell ref="A812:G812"/>
    <mergeCell ref="A822:G822"/>
    <mergeCell ref="A833:G833"/>
    <mergeCell ref="A847:G847"/>
    <mergeCell ref="A856:G856"/>
    <mergeCell ref="A865:G865"/>
    <mergeCell ref="A868:G868"/>
    <mergeCell ref="A871:G871"/>
    <mergeCell ref="A874:G874"/>
    <mergeCell ref="A877:G877"/>
    <mergeCell ref="A880:G880"/>
    <mergeCell ref="A883:G883"/>
    <mergeCell ref="A886:G886"/>
    <mergeCell ref="A891:G891"/>
    <mergeCell ref="A900:G900"/>
    <mergeCell ref="A904:G904"/>
    <mergeCell ref="A910:G910"/>
    <mergeCell ref="A911:G911"/>
    <mergeCell ref="A914:G914"/>
    <mergeCell ref="A925:G925"/>
    <mergeCell ref="A928:G928"/>
    <mergeCell ref="A1029:G1029"/>
    <mergeCell ref="A1036:G1036"/>
    <mergeCell ref="A1041:G1041"/>
    <mergeCell ref="A1049:G1049"/>
    <mergeCell ref="A1054:G1054"/>
    <mergeCell ref="A1064:G1064"/>
    <mergeCell ref="A1070:G1070"/>
    <mergeCell ref="A1081:G1081"/>
    <mergeCell ref="A1092:G1092"/>
    <mergeCell ref="A1098:G1098"/>
    <mergeCell ref="A1104:G1104"/>
    <mergeCell ref="A1110:G1110"/>
    <mergeCell ref="A1116:G1116"/>
    <mergeCell ref="A1133:G1133"/>
    <mergeCell ref="A1140:G1140"/>
    <mergeCell ref="A1152:G1152"/>
    <mergeCell ref="A1161:G1161"/>
    <mergeCell ref="A1166:G1166"/>
    <mergeCell ref="A1173:G1173"/>
    <mergeCell ref="A1212:G1212"/>
    <mergeCell ref="A1239:G1239"/>
    <mergeCell ref="A1259:G1259"/>
    <mergeCell ref="A1274:G1274"/>
    <mergeCell ref="A1282:G1282"/>
    <mergeCell ref="A1288:G1288"/>
    <mergeCell ref="A1294:G1294"/>
    <mergeCell ref="A1300:G1300"/>
    <mergeCell ref="A1306:G1306"/>
    <mergeCell ref="A1312:G1312"/>
    <mergeCell ref="A1318:G1318"/>
    <mergeCell ref="A1324:G1324"/>
    <mergeCell ref="A1329:G1329"/>
    <mergeCell ref="A1334:G1334"/>
    <mergeCell ref="A1340:G1340"/>
    <mergeCell ref="A1346:G1346"/>
    <mergeCell ref="A1352:G1352"/>
    <mergeCell ref="A1358:G1358"/>
    <mergeCell ref="A1364:G1364"/>
    <mergeCell ref="A1370:G1370"/>
    <mergeCell ref="A1376:G1376"/>
    <mergeCell ref="A1382:G1382"/>
    <mergeCell ref="A1388:G1388"/>
    <mergeCell ref="A1413:G1413"/>
    <mergeCell ref="A1427:G1427"/>
    <mergeCell ref="A1436:G1436"/>
    <mergeCell ref="A1452:G1452"/>
    <mergeCell ref="A1463:G1463"/>
    <mergeCell ref="A1517:G1517"/>
    <mergeCell ref="A1563:G1563"/>
    <mergeCell ref="A1569:G1569"/>
    <mergeCell ref="A1576:G1576"/>
    <mergeCell ref="A1593:G1593"/>
    <mergeCell ref="A1614:G1614"/>
    <mergeCell ref="A1621:G1621"/>
    <mergeCell ref="A1627:G1627"/>
    <mergeCell ref="A1635:G1635"/>
    <mergeCell ref="A1655:G1655"/>
    <mergeCell ref="A1668:G1668"/>
    <mergeCell ref="A1674:G1674"/>
    <mergeCell ref="A1688:G1688"/>
    <mergeCell ref="A1694:G1694"/>
    <mergeCell ref="A1701:G1701"/>
    <mergeCell ref="A1708:G1708"/>
    <mergeCell ref="A1737:G1737"/>
    <mergeCell ref="A1743:G1743"/>
    <mergeCell ref="A1751:G1751"/>
    <mergeCell ref="A1761:G1761"/>
    <mergeCell ref="A1770:G1770"/>
    <mergeCell ref="A1791:G1791"/>
    <mergeCell ref="A1813:G1813"/>
    <mergeCell ref="A1819:G1819"/>
    <mergeCell ref="A1866:G1866"/>
    <mergeCell ref="A1870:G1870"/>
    <mergeCell ref="A1877:G1877"/>
    <mergeCell ref="A1883:G1883"/>
    <mergeCell ref="A1894:G1894"/>
    <mergeCell ref="A1899:G1899"/>
    <mergeCell ref="A1908:G1908"/>
    <mergeCell ref="A1915:G1915"/>
    <mergeCell ref="A1920:G1920"/>
    <mergeCell ref="A1937:G1937"/>
    <mergeCell ref="A1948:G1948"/>
    <mergeCell ref="A1953:G1953"/>
    <mergeCell ref="A1958:G1958"/>
    <mergeCell ref="A1963:G1963"/>
    <mergeCell ref="A1968:G1968"/>
    <mergeCell ref="A1973:G1973"/>
    <mergeCell ref="A1977:G1977"/>
    <mergeCell ref="A1982:G1982"/>
    <mergeCell ref="A1987:G1987"/>
    <mergeCell ref="A2002:G2002"/>
    <mergeCell ref="A2008:G2008"/>
    <mergeCell ref="A2014:G2014"/>
    <mergeCell ref="A2020:G2020"/>
    <mergeCell ref="A2026:G2026"/>
    <mergeCell ref="A2032:G2032"/>
    <mergeCell ref="A2038:G2038"/>
    <mergeCell ref="A2044:G2044"/>
    <mergeCell ref="A2050:G2050"/>
    <mergeCell ref="A2056:G2056"/>
    <mergeCell ref="A2062:G2062"/>
    <mergeCell ref="A2067:G2067"/>
    <mergeCell ref="A2072:G2072"/>
    <mergeCell ref="A2077:G2077"/>
    <mergeCell ref="A2082:G2082"/>
    <mergeCell ref="A2087:G2087"/>
    <mergeCell ref="A2091:G2091"/>
    <mergeCell ref="A2096:G2096"/>
    <mergeCell ref="A2101:G2101"/>
    <mergeCell ref="A2106:G2106"/>
    <mergeCell ref="A2111:G2111"/>
    <mergeCell ref="A2116:G2116"/>
    <mergeCell ref="A2125:G2125"/>
    <mergeCell ref="A2131:G2131"/>
    <mergeCell ref="A2137:G2137"/>
    <mergeCell ref="A2143:G2143"/>
    <mergeCell ref="A2149:G2149"/>
    <mergeCell ref="A2155:G2155"/>
    <mergeCell ref="A2161:G2161"/>
    <mergeCell ref="A2167:G2167"/>
    <mergeCell ref="A2173:G2173"/>
    <mergeCell ref="A2178:G2178"/>
    <mergeCell ref="A2183:G2183"/>
    <mergeCell ref="A2188:G2188"/>
    <mergeCell ref="A2193:G2193"/>
    <mergeCell ref="A2198:G2198"/>
    <mergeCell ref="A2203:G2203"/>
    <mergeCell ref="A2208:G2208"/>
    <mergeCell ref="A2214:G2214"/>
    <mergeCell ref="A2219:G2219"/>
    <mergeCell ref="A2224:G2224"/>
    <mergeCell ref="A2231:G2231"/>
    <mergeCell ref="A2236:G2236"/>
    <mergeCell ref="A2255:G2255"/>
    <mergeCell ref="A2260:G2260"/>
    <mergeCell ref="A2272:G2272"/>
    <mergeCell ref="A2293:G2293"/>
    <mergeCell ref="A2311:G2311"/>
    <mergeCell ref="A2316:G2316"/>
    <mergeCell ref="A2321:G2321"/>
    <mergeCell ref="A2326:G2326"/>
    <mergeCell ref="A2331:G2331"/>
    <mergeCell ref="A2336:G2336"/>
    <mergeCell ref="A2341:G2341"/>
    <mergeCell ref="A2441:G2441"/>
    <mergeCell ref="A2446:G2446"/>
    <mergeCell ref="A2451:G2451"/>
    <mergeCell ref="A2461:G2461"/>
    <mergeCell ref="A2467:G2467"/>
    <mergeCell ref="A2468:G2468"/>
    <mergeCell ref="A2471:G2471"/>
    <mergeCell ref="A2486:G2486"/>
    <mergeCell ref="A2553:G2553"/>
    <mergeCell ref="A2619:G2619"/>
    <mergeCell ref="A2671:G2671"/>
    <mergeCell ref="A2675:G2675"/>
    <mergeCell ref="A2680:G2680"/>
    <mergeCell ref="A2684:G2684"/>
    <mergeCell ref="A2692:G2692"/>
    <mergeCell ref="A2700:G2700"/>
    <mergeCell ref="A2712:G2712"/>
    <mergeCell ref="A2717:G2717"/>
    <mergeCell ref="A2729:G2729"/>
    <mergeCell ref="A2735:G2735"/>
    <mergeCell ref="A2742:G2742"/>
    <mergeCell ref="A2752:G2752"/>
    <mergeCell ref="A2771:G2771"/>
    <mergeCell ref="A2809:G2809"/>
    <mergeCell ref="A2817:G2817"/>
    <mergeCell ref="A2822:G2822"/>
    <mergeCell ref="A2829:G2829"/>
    <mergeCell ref="A2837:G2837"/>
    <mergeCell ref="A2842:G2842"/>
    <mergeCell ref="A2853:G2853"/>
    <mergeCell ref="A2871:G2871"/>
    <mergeCell ref="A2878:G2878"/>
    <mergeCell ref="A2883:G2883"/>
    <mergeCell ref="A2893:G2893"/>
    <mergeCell ref="A2898:G2898"/>
    <mergeCell ref="A2903:G2903"/>
    <mergeCell ref="A2904:G2904"/>
    <mergeCell ref="A2907:G2907"/>
    <mergeCell ref="A2918:G2918"/>
    <mergeCell ref="A2935:G2935"/>
    <mergeCell ref="A2972:G2972"/>
    <mergeCell ref="A3009:G3009"/>
    <mergeCell ref="A3012:G3012"/>
    <mergeCell ref="A3015:G3015"/>
    <mergeCell ref="A3018:G3018"/>
    <mergeCell ref="A3021:G3021"/>
    <mergeCell ref="A3036:G3036"/>
    <mergeCell ref="A3099:G3099"/>
    <mergeCell ref="A3104:G3104"/>
    <mergeCell ref="A3119:G3119"/>
    <mergeCell ref="A3182:G3182"/>
    <mergeCell ref="A3187:G3187"/>
    <mergeCell ref="A3191:G3191"/>
    <mergeCell ref="A3194:G3194"/>
    <mergeCell ref="A3198:G3198"/>
    <mergeCell ref="A3236:G3236"/>
    <mergeCell ref="A3243:G3243"/>
    <mergeCell ref="A3248:G3248"/>
    <mergeCell ref="A3269:G3269"/>
    <mergeCell ref="A3290:G3290"/>
    <mergeCell ref="A3300:G3300"/>
    <mergeCell ref="A3320:G3320"/>
    <mergeCell ref="A3329:G3329"/>
    <mergeCell ref="A3343:G3343"/>
    <mergeCell ref="A3362:G3362"/>
    <mergeCell ref="A3370:G3370"/>
    <mergeCell ref="A3383:G3383"/>
    <mergeCell ref="A3388:G3388"/>
    <mergeCell ref="A3405:G3405"/>
    <mergeCell ref="A3417:G3417"/>
    <mergeCell ref="A3441:G3441"/>
    <mergeCell ref="A3447:G3447"/>
    <mergeCell ref="A3472:G3472"/>
    <mergeCell ref="A3478:G3478"/>
    <mergeCell ref="A3483:G3483"/>
    <mergeCell ref="A3492:G3492"/>
    <mergeCell ref="A3497:G3497"/>
    <mergeCell ref="A3503:G3503"/>
    <mergeCell ref="A3512:G3512"/>
    <mergeCell ref="A3533:G3533"/>
    <mergeCell ref="A3553:G3553"/>
    <mergeCell ref="A3559:G3559"/>
    <mergeCell ref="A3564:G3564"/>
    <mergeCell ref="A3572:G3572"/>
    <mergeCell ref="A3576:G3576"/>
    <mergeCell ref="A3581:G3581"/>
    <mergeCell ref="A3585:G3585"/>
    <mergeCell ref="A3589:G3589"/>
    <mergeCell ref="A3595:G3595"/>
    <mergeCell ref="A3607:G3607"/>
    <mergeCell ref="A3620:G3620"/>
    <mergeCell ref="A3625:G3625"/>
    <mergeCell ref="A3629:G3629"/>
    <mergeCell ref="A3634:G3634"/>
    <mergeCell ref="A3638:G3638"/>
    <mergeCell ref="A3642:G3642"/>
    <mergeCell ref="A3646:G3646"/>
    <mergeCell ref="A3650:G3650"/>
    <mergeCell ref="A3654:G3654"/>
    <mergeCell ref="A3658:G3658"/>
    <mergeCell ref="A3662:G3662"/>
    <mergeCell ref="A3667:G3667"/>
    <mergeCell ref="A3672:G3672"/>
    <mergeCell ref="A3676:G3676"/>
    <mergeCell ref="A3680:G3680"/>
    <mergeCell ref="A3684:G3684"/>
    <mergeCell ref="A3688:G3688"/>
    <mergeCell ref="A3693:G3693"/>
    <mergeCell ref="A3697:G3697"/>
    <mergeCell ref="A3702:G3702"/>
    <mergeCell ref="A3706:G3706"/>
    <mergeCell ref="A3711:G3711"/>
    <mergeCell ref="A3715:G3715"/>
    <mergeCell ref="A3719:G3719"/>
    <mergeCell ref="A3724:G3724"/>
    <mergeCell ref="A3729:G3729"/>
    <mergeCell ref="A3733:G3733"/>
    <mergeCell ref="A3738:G3738"/>
    <mergeCell ref="A3742:G3742"/>
    <mergeCell ref="A3747:G3747"/>
    <mergeCell ref="A3751:G3751"/>
    <mergeCell ref="A3755:G3755"/>
    <mergeCell ref="A3759:G3759"/>
    <mergeCell ref="A3763:G3763"/>
    <mergeCell ref="A3767:G3767"/>
    <mergeCell ref="A3772:G3772"/>
    <mergeCell ref="A3776:G3776"/>
    <mergeCell ref="A3781:G3781"/>
    <mergeCell ref="A3785:G3785"/>
    <mergeCell ref="A3789:G3789"/>
    <mergeCell ref="A3793:G3793"/>
    <mergeCell ref="A3798:G3798"/>
    <mergeCell ref="A3802:G3802"/>
    <mergeCell ref="A3807:G3807"/>
    <mergeCell ref="A3811:G3811"/>
    <mergeCell ref="A3816:G3816"/>
    <mergeCell ref="A3820:G3820"/>
    <mergeCell ref="A3824:G3824"/>
    <mergeCell ref="A3829:G3829"/>
    <mergeCell ref="A3834:G3834"/>
    <mergeCell ref="A3840:G3840"/>
    <mergeCell ref="A3846:G3846"/>
    <mergeCell ref="A3852:G3852"/>
    <mergeCell ref="A3858:G3858"/>
    <mergeCell ref="A3864:G3864"/>
    <mergeCell ref="A3870:G3870"/>
    <mergeCell ref="A3876:G3876"/>
    <mergeCell ref="A3880:G3880"/>
    <mergeCell ref="A3884:G3884"/>
    <mergeCell ref="A3888:G3888"/>
    <mergeCell ref="A3892:G3892"/>
    <mergeCell ref="A3896:G3896"/>
    <mergeCell ref="A3900:G3900"/>
    <mergeCell ref="A3904:G3904"/>
    <mergeCell ref="A3907:G3907"/>
    <mergeCell ref="A3908:G3908"/>
    <mergeCell ref="A3911:G3911"/>
    <mergeCell ref="A3948:G3948"/>
    <mergeCell ref="A3959:G3959"/>
    <mergeCell ref="A3966:G3966"/>
    <mergeCell ref="A3969:G3969"/>
    <mergeCell ref="A3972:G3972"/>
    <mergeCell ref="A3975:G3975"/>
    <mergeCell ref="A4128:G4128"/>
    <mergeCell ref="A4138:G4138"/>
    <mergeCell ref="A4197:G4197"/>
    <mergeCell ref="A3978:G3978"/>
    <mergeCell ref="A3982:G3982"/>
    <mergeCell ref="A4011:G4011"/>
    <mergeCell ref="A4015:G4015"/>
    <mergeCell ref="A4020:G4020"/>
    <mergeCell ref="A4023:G4023"/>
    <mergeCell ref="A4027:G4027"/>
    <mergeCell ref="A4056:G4056"/>
    <mergeCell ref="A4124:G4124"/>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Variables</vt:lpstr>
      <vt:lpstr>Value Lookup</vt:lpstr>
      <vt:lpstr>Tables</vt:lpstr>
      <vt:lpstr>Weights</vt:lpstr>
      <vt:lpstr>Frequencies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Elements for the 2017 National Household Travel Survey – Indian Nations Council of Governments Add-On</dc:title>
  <dc:subject>The NHTS Indian Nations Council of Governments add-on data package contains a demographic and socioeconomic composition of 1,049 household samples in Oklahoma, as well as detailed information on the travel behavior of each household for one assigned day. It does not contain data pertaining to residence type (i.e., single family home, apartment, condo, etc.).</dc:subject>
  <dc:creator>Westat</dc:creator>
  <cp:lastModifiedBy>Glickson, Amy</cp:lastModifiedBy>
  <dcterms:created xsi:type="dcterms:W3CDTF">2014-03-07T16:08:25Z</dcterms:created>
  <dcterms:modified xsi:type="dcterms:W3CDTF">2019-12-27T18:56:16Z</dcterms:modified>
</cp:coreProperties>
</file>