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08"/>
  <workbookPr codeName="ThisWorkbook" defaultThemeVersion="124226"/>
  <mc:AlternateContent xmlns:mc="http://schemas.openxmlformats.org/markup-compatibility/2006">
    <mc:Choice Requires="x15">
      <x15ac:absPath xmlns:x15ac="http://schemas.microsoft.com/office/spreadsheetml/2010/11/ac" url="/Users/hdreves/Desktop/2018_11 FinanceRE Site Redesign/CREST Spreadsheets/"/>
    </mc:Choice>
  </mc:AlternateContent>
  <xr:revisionPtr revIDLastSave="0" documentId="13_ncr:1_{AD1F3A7C-0172-E34A-963E-967C8E147994}" xr6:coauthVersionLast="40" xr6:coauthVersionMax="40" xr10:uidLastSave="{00000000-0000-0000-0000-000000000000}"/>
  <bookViews>
    <workbookView xWindow="2300" yWindow="1580" windowWidth="39000" windowHeight="20220" tabRatio="725" activeTab="2" xr2:uid="{00000000-000D-0000-FFFF-FFFF00000000}"/>
  </bookViews>
  <sheets>
    <sheet name="Introduction" sheetId="6" r:id="rId1"/>
    <sheet name="Inputs" sheetId="7" r:id="rId2"/>
    <sheet name="Summary Results" sheetId="9" r:id="rId3"/>
    <sheet name="Annual Cash Flows &amp; Returns" sheetId="10" r:id="rId4"/>
    <sheet name="Cash Flow" sheetId="11" r:id="rId5"/>
    <sheet name="Complex Inputs" sheetId="12" r:id="rId6"/>
  </sheets>
  <definedNames>
    <definedName name="_ftn1" localSheetId="1">Inputs!#REF!</definedName>
    <definedName name="_ftnref1" localSheetId="1">Inputs!$E$104</definedName>
    <definedName name="_xlnm.Print_Area" localSheetId="0">Introduction!$B$2:$D$43</definedName>
    <definedName name="solver_adj" localSheetId="1" hidden="1">Inputs!$G$62</definedName>
    <definedName name="solver_cvg" localSheetId="1" hidden="1">0.0001</definedName>
    <definedName name="solver_drv" localSheetId="1" hidden="1">1</definedName>
    <definedName name="solver_est" localSheetId="1" hidden="1">1</definedName>
    <definedName name="solver_itr" localSheetId="1" hidden="1">100</definedName>
    <definedName name="solver_lhs1" localSheetId="1" hidden="1">Inputs!$G$67</definedName>
    <definedName name="solver_lhs2" localSheetId="1" hidden="1">Inputs!$G$70</definedName>
    <definedName name="solver_lin" localSheetId="1" hidden="1">2</definedName>
    <definedName name="solver_neg" localSheetId="1" hidden="1">2</definedName>
    <definedName name="solver_num" localSheetId="1" hidden="1">2</definedName>
    <definedName name="solver_nwt" localSheetId="1" hidden="1">1</definedName>
    <definedName name="solver_opt" localSheetId="1" hidden="1">Inputs!$U$73</definedName>
    <definedName name="solver_pre" localSheetId="1" hidden="1">0.000001</definedName>
    <definedName name="solver_rel1" localSheetId="1" hidden="1">3</definedName>
    <definedName name="solver_rel2" localSheetId="1" hidden="1">3</definedName>
    <definedName name="solver_rhs1" localSheetId="1" hidden="1">Inputs!$G$66</definedName>
    <definedName name="solver_rhs2" localSheetId="1" hidden="1">Inputs!$G$69</definedName>
    <definedName name="solver_scl" localSheetId="1" hidden="1">2</definedName>
    <definedName name="solver_sho" localSheetId="1" hidden="1">2</definedName>
    <definedName name="solver_tim" localSheetId="1" hidden="1">100</definedName>
    <definedName name="solver_tol" localSheetId="1" hidden="1">0.05</definedName>
    <definedName name="solver_typ" localSheetId="1" hidden="1">2</definedName>
    <definedName name="solver_val" localSheetId="1" hidden="1">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R33" i="7" l="1"/>
  <c r="N97" i="7"/>
  <c r="N96" i="7"/>
  <c r="N95" i="7"/>
  <c r="N94" i="7"/>
  <c r="N93" i="7"/>
  <c r="N92" i="7"/>
  <c r="AA6" i="11"/>
  <c r="AB6" i="11"/>
  <c r="AC6" i="11"/>
  <c r="AD6" i="11"/>
  <c r="AE6" i="11"/>
  <c r="AF6" i="11"/>
  <c r="AG6" i="11"/>
  <c r="AH6" i="11"/>
  <c r="AI6" i="11"/>
  <c r="AJ6" i="11"/>
  <c r="H8" i="11"/>
  <c r="I8" i="11" s="1"/>
  <c r="J8" i="11" s="1"/>
  <c r="K8" i="11" s="1"/>
  <c r="L8" i="11" s="1"/>
  <c r="M8" i="11" s="1"/>
  <c r="N8" i="11" s="1"/>
  <c r="O8" i="11" s="1"/>
  <c r="P8" i="11" s="1"/>
  <c r="Q8" i="11" s="1"/>
  <c r="R8" i="11" s="1"/>
  <c r="S8" i="11" s="1"/>
  <c r="T8" i="11" s="1"/>
  <c r="U8" i="11" s="1"/>
  <c r="V8" i="11" s="1"/>
  <c r="W8" i="11" s="1"/>
  <c r="X8" i="11" s="1"/>
  <c r="Y8" i="11" s="1"/>
  <c r="Z8" i="11" s="1"/>
  <c r="AA8" i="11" s="1"/>
  <c r="AB8" i="11" s="1"/>
  <c r="AC8" i="11" s="1"/>
  <c r="AD8" i="11" s="1"/>
  <c r="AE8" i="11" s="1"/>
  <c r="AF8" i="11" s="1"/>
  <c r="AG8" i="11" s="1"/>
  <c r="AH8" i="11" s="1"/>
  <c r="AI8" i="11" s="1"/>
  <c r="AJ8" i="11" s="1"/>
  <c r="AI28" i="11" l="1"/>
  <c r="AG28" i="11"/>
  <c r="AE28" i="11"/>
  <c r="AC28" i="11"/>
  <c r="AA28" i="11"/>
  <c r="AJ28" i="11"/>
  <c r="AH28" i="11"/>
  <c r="AF28" i="11"/>
  <c r="AD28" i="11"/>
  <c r="AB28" i="11"/>
  <c r="G13" i="7" l="1"/>
  <c r="Q17" i="7" s="1"/>
  <c r="AA38" i="11"/>
  <c r="AB38" i="11"/>
  <c r="AC38" i="11"/>
  <c r="AD38" i="11"/>
  <c r="AE38" i="11"/>
  <c r="AF38" i="11"/>
  <c r="AG38" i="11"/>
  <c r="AH38" i="11"/>
  <c r="AI38" i="11"/>
  <c r="AJ38" i="11"/>
  <c r="G38" i="11"/>
  <c r="G8" i="7"/>
  <c r="AA41" i="11" l="1"/>
  <c r="AB41" i="11"/>
  <c r="AC41" i="11"/>
  <c r="AD41" i="11"/>
  <c r="AE41" i="11"/>
  <c r="AF41" i="11"/>
  <c r="AG41" i="11"/>
  <c r="AH41" i="11"/>
  <c r="AI41" i="11"/>
  <c r="AJ41" i="11"/>
  <c r="G41" i="11"/>
  <c r="H33" i="11"/>
  <c r="H41" i="11" s="1"/>
  <c r="I33" i="11" l="1"/>
  <c r="AA27" i="11"/>
  <c r="AB27" i="11"/>
  <c r="AC27" i="11"/>
  <c r="AD27" i="11"/>
  <c r="AE27" i="11"/>
  <c r="AF27" i="11"/>
  <c r="AG27" i="11"/>
  <c r="AH27" i="11"/>
  <c r="AI27" i="11"/>
  <c r="AJ27" i="11"/>
  <c r="G27" i="11"/>
  <c r="H7" i="11"/>
  <c r="AA43" i="11"/>
  <c r="AB43" i="11"/>
  <c r="AC43" i="11"/>
  <c r="AD43" i="11"/>
  <c r="AE43" i="11"/>
  <c r="AF43" i="11"/>
  <c r="AG43" i="11"/>
  <c r="AH43" i="11"/>
  <c r="AI43" i="11"/>
  <c r="AJ43" i="11"/>
  <c r="G43" i="11"/>
  <c r="H35" i="11"/>
  <c r="I35" i="11" s="1"/>
  <c r="J35" i="11" s="1"/>
  <c r="K35" i="11" s="1"/>
  <c r="L35" i="11" s="1"/>
  <c r="M35" i="11" s="1"/>
  <c r="N35" i="11" s="1"/>
  <c r="O35" i="11" s="1"/>
  <c r="P35" i="11" s="1"/>
  <c r="Q35" i="11" s="1"/>
  <c r="R35" i="11" s="1"/>
  <c r="S35" i="11" s="1"/>
  <c r="T35" i="11" s="1"/>
  <c r="U35" i="11" s="1"/>
  <c r="V35" i="11" s="1"/>
  <c r="W35" i="11" s="1"/>
  <c r="X35" i="11" s="1"/>
  <c r="Y35" i="11" s="1"/>
  <c r="Z35" i="11" s="1"/>
  <c r="AA35" i="11" s="1"/>
  <c r="AB35" i="11" s="1"/>
  <c r="AC35" i="11" s="1"/>
  <c r="AD35" i="11" s="1"/>
  <c r="AE35" i="11" s="1"/>
  <c r="AF35" i="11" s="1"/>
  <c r="AG35" i="11" s="1"/>
  <c r="AH35" i="11" s="1"/>
  <c r="AI35" i="11" s="1"/>
  <c r="AJ35" i="11" s="1"/>
  <c r="B34" i="9"/>
  <c r="C34" i="9"/>
  <c r="D34" i="9"/>
  <c r="B35" i="9"/>
  <c r="C35" i="9"/>
  <c r="D35" i="9"/>
  <c r="B36" i="9"/>
  <c r="C36" i="9"/>
  <c r="D36" i="9"/>
  <c r="B37" i="9"/>
  <c r="C37" i="9"/>
  <c r="D37" i="9"/>
  <c r="B38" i="9"/>
  <c r="C38" i="9"/>
  <c r="D38" i="9"/>
  <c r="C33" i="9"/>
  <c r="D33" i="9"/>
  <c r="B33" i="9"/>
  <c r="B23" i="9"/>
  <c r="C23" i="9"/>
  <c r="D23" i="9"/>
  <c r="C22" i="9"/>
  <c r="D22" i="9"/>
  <c r="B22" i="9"/>
  <c r="C21" i="9"/>
  <c r="D21" i="9"/>
  <c r="B21" i="9"/>
  <c r="C20" i="9"/>
  <c r="D20" i="9"/>
  <c r="B20" i="9"/>
  <c r="C19" i="9"/>
  <c r="B19" i="9"/>
  <c r="AA42" i="11"/>
  <c r="AB42" i="11"/>
  <c r="AC42" i="11"/>
  <c r="AD42" i="11"/>
  <c r="AE42" i="11"/>
  <c r="AF42" i="11"/>
  <c r="AG42" i="11"/>
  <c r="AH42" i="11"/>
  <c r="AI42" i="11"/>
  <c r="AJ42" i="11"/>
  <c r="G42" i="11"/>
  <c r="H34" i="11"/>
  <c r="H42" i="11" s="1"/>
  <c r="H26" i="11"/>
  <c r="I26" i="11"/>
  <c r="J26" i="11"/>
  <c r="K26" i="11"/>
  <c r="L26" i="11"/>
  <c r="M26" i="11"/>
  <c r="N26" i="11"/>
  <c r="O26" i="11"/>
  <c r="P26" i="11"/>
  <c r="Q26" i="11"/>
  <c r="R26" i="11"/>
  <c r="S26" i="11"/>
  <c r="T26" i="11"/>
  <c r="U26" i="11"/>
  <c r="V26" i="11"/>
  <c r="W26" i="11"/>
  <c r="X26" i="11"/>
  <c r="Y26" i="11"/>
  <c r="Z26" i="11"/>
  <c r="AA26" i="11"/>
  <c r="AB26" i="11"/>
  <c r="AC26" i="11"/>
  <c r="AD26" i="11"/>
  <c r="AE26" i="11"/>
  <c r="AF26" i="11"/>
  <c r="AG26" i="11"/>
  <c r="AH26" i="11"/>
  <c r="AI26" i="11"/>
  <c r="AJ26" i="11"/>
  <c r="G26" i="11"/>
  <c r="AA5" i="11"/>
  <c r="AB5" i="11"/>
  <c r="AC5" i="11"/>
  <c r="AD5" i="11"/>
  <c r="AE5" i="11"/>
  <c r="AF5" i="11"/>
  <c r="AG5" i="11"/>
  <c r="AH5" i="11"/>
  <c r="AI5" i="11"/>
  <c r="AJ5" i="11"/>
  <c r="H27" i="11" l="1"/>
  <c r="I7" i="11"/>
  <c r="J7" i="11" s="1"/>
  <c r="K7" i="11" s="1"/>
  <c r="L7" i="11" s="1"/>
  <c r="M7" i="11" s="1"/>
  <c r="N7" i="11" s="1"/>
  <c r="O7" i="11" s="1"/>
  <c r="P7" i="11" s="1"/>
  <c r="Q7" i="11" s="1"/>
  <c r="R7" i="11" s="1"/>
  <c r="S7" i="11" s="1"/>
  <c r="T7" i="11" s="1"/>
  <c r="U7" i="11" s="1"/>
  <c r="V7" i="11" s="1"/>
  <c r="W7" i="11" s="1"/>
  <c r="X7" i="11" s="1"/>
  <c r="Y7" i="11" s="1"/>
  <c r="Z7" i="11" s="1"/>
  <c r="AA7" i="11" s="1"/>
  <c r="AB7" i="11" s="1"/>
  <c r="AC7" i="11" s="1"/>
  <c r="AD7" i="11" s="1"/>
  <c r="AE7" i="11" s="1"/>
  <c r="AF7" i="11" s="1"/>
  <c r="AG7" i="11" s="1"/>
  <c r="AH7" i="11" s="1"/>
  <c r="AI7" i="11" s="1"/>
  <c r="AJ7" i="11" s="1"/>
  <c r="J33" i="11"/>
  <c r="I41" i="11"/>
  <c r="H43" i="11"/>
  <c r="I34" i="11"/>
  <c r="I43" i="11" s="1"/>
  <c r="G9" i="7"/>
  <c r="T33" i="7"/>
  <c r="H21" i="11"/>
  <c r="I21" i="11"/>
  <c r="J21" i="11"/>
  <c r="K21" i="11"/>
  <c r="L21" i="11"/>
  <c r="M21" i="11"/>
  <c r="N21" i="11"/>
  <c r="O21" i="11"/>
  <c r="P21" i="11"/>
  <c r="Q21" i="11"/>
  <c r="R21" i="11"/>
  <c r="S21" i="11"/>
  <c r="T21" i="11"/>
  <c r="U21" i="11"/>
  <c r="V21" i="11"/>
  <c r="W21" i="11"/>
  <c r="X21" i="11"/>
  <c r="Y21" i="11"/>
  <c r="Z21" i="11"/>
  <c r="AA21" i="11"/>
  <c r="AB21" i="11"/>
  <c r="AC21" i="11"/>
  <c r="AD21" i="11"/>
  <c r="AE21" i="11"/>
  <c r="AF21" i="11"/>
  <c r="AG21" i="11"/>
  <c r="AH21" i="11"/>
  <c r="AI21" i="11"/>
  <c r="AJ21" i="11"/>
  <c r="G21" i="11"/>
  <c r="Q182" i="11"/>
  <c r="R182" i="11"/>
  <c r="S182" i="11"/>
  <c r="T182" i="11"/>
  <c r="U182" i="11"/>
  <c r="V182" i="11"/>
  <c r="W182" i="11"/>
  <c r="X182" i="11"/>
  <c r="Y182" i="11"/>
  <c r="Z182" i="11"/>
  <c r="AA182" i="11"/>
  <c r="AB182" i="11"/>
  <c r="AC182" i="11"/>
  <c r="AD182" i="11"/>
  <c r="AE182" i="11"/>
  <c r="AF182" i="11"/>
  <c r="AG182" i="11"/>
  <c r="AH182" i="11"/>
  <c r="AI182" i="11"/>
  <c r="AJ182" i="11"/>
  <c r="H181" i="11"/>
  <c r="I181" i="11"/>
  <c r="J181" i="11"/>
  <c r="K181" i="11"/>
  <c r="L181" i="11"/>
  <c r="M181" i="11"/>
  <c r="N181" i="11"/>
  <c r="O181" i="11"/>
  <c r="P181" i="11"/>
  <c r="Q181" i="11"/>
  <c r="R181" i="11"/>
  <c r="S181" i="11"/>
  <c r="T181" i="11"/>
  <c r="U181" i="11"/>
  <c r="V181" i="11"/>
  <c r="W181" i="11"/>
  <c r="X181" i="11"/>
  <c r="Y181" i="11"/>
  <c r="Z181" i="11"/>
  <c r="AA181" i="11"/>
  <c r="AB181" i="11"/>
  <c r="AC181" i="11"/>
  <c r="AD181" i="11"/>
  <c r="AE181" i="11"/>
  <c r="AF181" i="11"/>
  <c r="AG181" i="11"/>
  <c r="AH181" i="11"/>
  <c r="AI181" i="11"/>
  <c r="AJ181" i="11"/>
  <c r="K33" i="11" l="1"/>
  <c r="J41" i="11"/>
  <c r="I27" i="11"/>
  <c r="I42" i="11"/>
  <c r="J34" i="11"/>
  <c r="J43" i="11" s="1"/>
  <c r="G11" i="7"/>
  <c r="G16" i="7" s="1"/>
  <c r="D24" i="9" s="1"/>
  <c r="D19" i="9"/>
  <c r="G80" i="7"/>
  <c r="L33" i="11" l="1"/>
  <c r="K41" i="11"/>
  <c r="G5" i="11"/>
  <c r="G6" i="11" s="1"/>
  <c r="G28" i="11" s="1"/>
  <c r="J27" i="11"/>
  <c r="K34" i="11"/>
  <c r="K43" i="11" s="1"/>
  <c r="J42" i="11"/>
  <c r="H196" i="11"/>
  <c r="I196" i="11"/>
  <c r="J196" i="11"/>
  <c r="K196" i="11"/>
  <c r="L196" i="11"/>
  <c r="M196" i="11"/>
  <c r="N196" i="11"/>
  <c r="O196" i="11"/>
  <c r="P196" i="11"/>
  <c r="Q196" i="11"/>
  <c r="R196" i="11"/>
  <c r="S196" i="11"/>
  <c r="T196" i="11"/>
  <c r="U196" i="11"/>
  <c r="V196" i="11"/>
  <c r="W196" i="11"/>
  <c r="X196" i="11"/>
  <c r="Y196" i="11"/>
  <c r="Z196" i="11"/>
  <c r="AA196" i="11"/>
  <c r="AB196" i="11"/>
  <c r="AC196" i="11"/>
  <c r="AD196" i="11"/>
  <c r="AE196" i="11"/>
  <c r="AF196" i="11"/>
  <c r="AG196" i="11"/>
  <c r="AH196" i="11"/>
  <c r="AI196" i="11"/>
  <c r="AJ196" i="11"/>
  <c r="G196" i="11"/>
  <c r="M33" i="11" l="1"/>
  <c r="L41" i="11"/>
  <c r="K27" i="11"/>
  <c r="L34" i="11"/>
  <c r="L43" i="11" s="1"/>
  <c r="K42" i="11"/>
  <c r="G23" i="11"/>
  <c r="R54" i="7"/>
  <c r="R52" i="7"/>
  <c r="D57" i="9"/>
  <c r="N33" i="11" l="1"/>
  <c r="M41" i="11"/>
  <c r="L27" i="11"/>
  <c r="M34" i="11"/>
  <c r="M43" i="11" s="1"/>
  <c r="L42" i="11"/>
  <c r="D27" i="9"/>
  <c r="D25" i="9"/>
  <c r="D54" i="9"/>
  <c r="D55" i="9" s="1"/>
  <c r="O33" i="11" l="1"/>
  <c r="N41" i="11"/>
  <c r="M27" i="11"/>
  <c r="N34" i="11"/>
  <c r="N43" i="11" s="1"/>
  <c r="M42" i="11"/>
  <c r="N35" i="7"/>
  <c r="V53" i="11"/>
  <c r="W53" i="11"/>
  <c r="X53" i="11"/>
  <c r="Y53" i="11"/>
  <c r="Z53" i="11"/>
  <c r="AA53" i="11"/>
  <c r="AB53" i="11"/>
  <c r="AC53" i="11"/>
  <c r="AD53" i="11"/>
  <c r="AE53" i="11"/>
  <c r="AF53" i="11"/>
  <c r="AG53" i="11"/>
  <c r="AH53" i="11"/>
  <c r="AI53" i="11"/>
  <c r="AJ53" i="11"/>
  <c r="H216" i="11"/>
  <c r="I216" i="11"/>
  <c r="J216" i="11"/>
  <c r="K216" i="11"/>
  <c r="L216" i="11"/>
  <c r="M216" i="11"/>
  <c r="N216" i="11"/>
  <c r="O216" i="11"/>
  <c r="AA216" i="11"/>
  <c r="AB216" i="11"/>
  <c r="AC216" i="11"/>
  <c r="AD216" i="11"/>
  <c r="AE216" i="11"/>
  <c r="AF216" i="11"/>
  <c r="AG216" i="11"/>
  <c r="AH216" i="11"/>
  <c r="AI216" i="11"/>
  <c r="AJ216" i="11"/>
  <c r="G216" i="11"/>
  <c r="H215" i="11"/>
  <c r="I215" i="11"/>
  <c r="J215" i="11"/>
  <c r="V215" i="11"/>
  <c r="W215" i="11"/>
  <c r="X215" i="11"/>
  <c r="Y215" i="11"/>
  <c r="Z215" i="11"/>
  <c r="AA215" i="11"/>
  <c r="AB215" i="11"/>
  <c r="AC215" i="11"/>
  <c r="AD215" i="11"/>
  <c r="AE215" i="11"/>
  <c r="AF215" i="11"/>
  <c r="AG215" i="11"/>
  <c r="AH215" i="11"/>
  <c r="AI215" i="11"/>
  <c r="AJ215" i="11"/>
  <c r="G215" i="11"/>
  <c r="N213" i="11"/>
  <c r="O213" i="11"/>
  <c r="P213" i="11"/>
  <c r="Q213" i="11"/>
  <c r="R213" i="11"/>
  <c r="S213" i="11"/>
  <c r="T213" i="11"/>
  <c r="U213" i="11"/>
  <c r="V213" i="11"/>
  <c r="W213" i="11"/>
  <c r="X213" i="11"/>
  <c r="Y213" i="11"/>
  <c r="Z213" i="11"/>
  <c r="AA213" i="11"/>
  <c r="AB213" i="11"/>
  <c r="AC213" i="11"/>
  <c r="AD213" i="11"/>
  <c r="AE213" i="11"/>
  <c r="AF213" i="11"/>
  <c r="AG213" i="11"/>
  <c r="AH213" i="11"/>
  <c r="AI213" i="11"/>
  <c r="AJ213" i="11"/>
  <c r="H214" i="11"/>
  <c r="I214" i="11"/>
  <c r="U214" i="11"/>
  <c r="V214" i="11"/>
  <c r="W214" i="11"/>
  <c r="X214" i="11"/>
  <c r="Y214" i="11"/>
  <c r="Z214" i="11"/>
  <c r="AA214" i="11"/>
  <c r="AB214" i="11"/>
  <c r="AC214" i="11"/>
  <c r="AD214" i="11"/>
  <c r="AE214" i="11"/>
  <c r="AF214" i="11"/>
  <c r="AG214" i="11"/>
  <c r="AH214" i="11"/>
  <c r="AI214" i="11"/>
  <c r="AJ214" i="11"/>
  <c r="G214" i="11"/>
  <c r="H150" i="11"/>
  <c r="I150" i="11"/>
  <c r="J150" i="11"/>
  <c r="K150" i="11"/>
  <c r="L150" i="11"/>
  <c r="M150" i="11"/>
  <c r="N150" i="11"/>
  <c r="O150" i="11"/>
  <c r="P150" i="11"/>
  <c r="Q150" i="11"/>
  <c r="R150" i="11"/>
  <c r="S150" i="11"/>
  <c r="T150" i="11"/>
  <c r="U150" i="11"/>
  <c r="V150" i="11"/>
  <c r="W150" i="11"/>
  <c r="X150" i="11"/>
  <c r="Y150" i="11"/>
  <c r="AA150" i="11"/>
  <c r="AB150" i="11"/>
  <c r="AC150" i="11"/>
  <c r="AD150" i="11"/>
  <c r="AE150" i="11"/>
  <c r="AF150" i="11"/>
  <c r="AG150" i="11"/>
  <c r="AH150" i="11"/>
  <c r="AI150" i="11"/>
  <c r="AJ150" i="11"/>
  <c r="H147" i="11"/>
  <c r="I147" i="11"/>
  <c r="J147" i="11"/>
  <c r="K147" i="11"/>
  <c r="L147" i="11"/>
  <c r="M147" i="11"/>
  <c r="N147" i="11"/>
  <c r="O147" i="11"/>
  <c r="P147" i="11"/>
  <c r="Q147" i="11"/>
  <c r="R147" i="11"/>
  <c r="S147" i="11"/>
  <c r="T147" i="11"/>
  <c r="V147" i="11"/>
  <c r="W147" i="11"/>
  <c r="X147" i="11"/>
  <c r="Y147" i="11"/>
  <c r="Z147" i="11"/>
  <c r="AA147" i="11"/>
  <c r="AB147" i="11"/>
  <c r="AC147" i="11"/>
  <c r="AD147" i="11"/>
  <c r="AE147" i="11"/>
  <c r="AF147" i="11"/>
  <c r="AG147" i="11"/>
  <c r="AH147" i="11"/>
  <c r="AI147" i="11"/>
  <c r="AJ147" i="11"/>
  <c r="G150" i="11"/>
  <c r="G151" i="11" s="1"/>
  <c r="G152" i="11" s="1"/>
  <c r="G147" i="11"/>
  <c r="G148" i="11" s="1"/>
  <c r="G149" i="11" s="1"/>
  <c r="E150" i="11"/>
  <c r="Z150" i="11" s="1"/>
  <c r="E147" i="11"/>
  <c r="U147" i="11" s="1"/>
  <c r="E144" i="11"/>
  <c r="J214" i="11" s="1"/>
  <c r="P71" i="7"/>
  <c r="P69" i="7"/>
  <c r="P67" i="7"/>
  <c r="P65" i="7"/>
  <c r="N70" i="7"/>
  <c r="N68" i="7"/>
  <c r="N66" i="7"/>
  <c r="P33" i="11" l="1"/>
  <c r="O41" i="11"/>
  <c r="N27" i="11"/>
  <c r="O34" i="11"/>
  <c r="O43" i="11" s="1"/>
  <c r="N42" i="11"/>
  <c r="S214" i="11"/>
  <c r="Q214" i="11"/>
  <c r="O214" i="11"/>
  <c r="M214" i="11"/>
  <c r="K214" i="11"/>
  <c r="T214" i="11"/>
  <c r="R214" i="11"/>
  <c r="P214" i="11"/>
  <c r="N214" i="11"/>
  <c r="L214" i="11"/>
  <c r="Z216" i="11"/>
  <c r="X216" i="11"/>
  <c r="V216" i="11"/>
  <c r="T216" i="11"/>
  <c r="R216" i="11"/>
  <c r="P216" i="11"/>
  <c r="Y216" i="11"/>
  <c r="W216" i="11"/>
  <c r="U216" i="11"/>
  <c r="S216" i="11"/>
  <c r="Q216" i="11"/>
  <c r="T215" i="11"/>
  <c r="R215" i="11"/>
  <c r="P215" i="11"/>
  <c r="N215" i="11"/>
  <c r="L215" i="11"/>
  <c r="U215" i="11"/>
  <c r="S215" i="11"/>
  <c r="Q215" i="11"/>
  <c r="O215" i="11"/>
  <c r="M215" i="11"/>
  <c r="K215" i="11"/>
  <c r="H148" i="11"/>
  <c r="H149" i="11" s="1"/>
  <c r="H151" i="11"/>
  <c r="H152" i="11" s="1"/>
  <c r="L195" i="11"/>
  <c r="M195" i="11"/>
  <c r="N195" i="11"/>
  <c r="O195" i="11"/>
  <c r="P195" i="11"/>
  <c r="Q195" i="11"/>
  <c r="R195" i="11"/>
  <c r="S195" i="11"/>
  <c r="T195" i="11"/>
  <c r="U195" i="11"/>
  <c r="V195" i="11"/>
  <c r="W195" i="11"/>
  <c r="X195" i="11"/>
  <c r="Y195" i="11"/>
  <c r="Z195" i="11"/>
  <c r="AA195" i="11"/>
  <c r="AB195" i="11"/>
  <c r="AC195" i="11"/>
  <c r="AD195" i="11"/>
  <c r="AE195" i="11"/>
  <c r="AF195" i="11"/>
  <c r="AG195" i="11"/>
  <c r="AH195" i="11"/>
  <c r="AI195" i="11"/>
  <c r="AJ195" i="11"/>
  <c r="I148" i="11" l="1"/>
  <c r="J148" i="11" s="1"/>
  <c r="Q33" i="11"/>
  <c r="P41" i="11"/>
  <c r="O27" i="11"/>
  <c r="P34" i="11"/>
  <c r="P43" i="11" s="1"/>
  <c r="O42" i="11"/>
  <c r="I151" i="11"/>
  <c r="J151" i="11" s="1"/>
  <c r="AA45" i="11"/>
  <c r="AB45" i="11"/>
  <c r="AC45" i="11"/>
  <c r="AD45" i="11"/>
  <c r="AE45" i="11"/>
  <c r="AF45" i="11"/>
  <c r="AG45" i="11"/>
  <c r="AH45" i="11"/>
  <c r="AI45" i="11"/>
  <c r="AJ45" i="11"/>
  <c r="G45" i="11"/>
  <c r="R48" i="7"/>
  <c r="E141" i="11"/>
  <c r="Q23" i="11"/>
  <c r="R23" i="11"/>
  <c r="S23" i="11"/>
  <c r="T23" i="11"/>
  <c r="U23" i="11"/>
  <c r="V23" i="11"/>
  <c r="W23" i="11"/>
  <c r="X23" i="11"/>
  <c r="Y23" i="11"/>
  <c r="Z23" i="11"/>
  <c r="AA23" i="11"/>
  <c r="AB23" i="11"/>
  <c r="AC23" i="11"/>
  <c r="AD23" i="11"/>
  <c r="AE23" i="11"/>
  <c r="AF23" i="11"/>
  <c r="AG23" i="11"/>
  <c r="AH23" i="11"/>
  <c r="AI23" i="11"/>
  <c r="AJ23" i="11"/>
  <c r="I149" i="11" l="1"/>
  <c r="R33" i="11"/>
  <c r="Q41" i="11"/>
  <c r="P27" i="11"/>
  <c r="Q34" i="11"/>
  <c r="Q43" i="11" s="1"/>
  <c r="P42" i="11"/>
  <c r="I152" i="11"/>
  <c r="I213" i="11"/>
  <c r="K213" i="11"/>
  <c r="M213" i="11"/>
  <c r="G213" i="11"/>
  <c r="H213" i="11"/>
  <c r="J213" i="11"/>
  <c r="L213" i="11"/>
  <c r="K151" i="11"/>
  <c r="J152" i="11"/>
  <c r="K148" i="11"/>
  <c r="J149" i="11"/>
  <c r="AF37" i="11"/>
  <c r="AG37" i="11"/>
  <c r="AH37" i="11"/>
  <c r="AI37" i="11"/>
  <c r="AJ37" i="11"/>
  <c r="G37" i="11"/>
  <c r="C18" i="9"/>
  <c r="S33" i="11" l="1"/>
  <c r="R41" i="11"/>
  <c r="Q27" i="11"/>
  <c r="R34" i="11"/>
  <c r="R43" i="11" s="1"/>
  <c r="Q42" i="11"/>
  <c r="L148" i="11"/>
  <c r="K149" i="11"/>
  <c r="L151" i="11"/>
  <c r="K152" i="11"/>
  <c r="D18" i="9"/>
  <c r="T33" i="11" l="1"/>
  <c r="S41" i="11"/>
  <c r="R27" i="11"/>
  <c r="S34" i="11"/>
  <c r="S43" i="11" s="1"/>
  <c r="R42" i="11"/>
  <c r="M151" i="11"/>
  <c r="L152" i="11"/>
  <c r="M148" i="11"/>
  <c r="L149" i="11"/>
  <c r="D18" i="7"/>
  <c r="U33" i="11" l="1"/>
  <c r="T41" i="11"/>
  <c r="S27" i="11"/>
  <c r="T34" i="11"/>
  <c r="T43" i="11" s="1"/>
  <c r="S42" i="11"/>
  <c r="N148" i="11"/>
  <c r="M149" i="11"/>
  <c r="N151" i="11"/>
  <c r="M152" i="11"/>
  <c r="T27" i="7"/>
  <c r="V33" i="11" l="1"/>
  <c r="U41" i="11"/>
  <c r="T27" i="11"/>
  <c r="U34" i="11"/>
  <c r="U43" i="11" s="1"/>
  <c r="T42" i="11"/>
  <c r="O151" i="11"/>
  <c r="N152" i="11"/>
  <c r="O148" i="11"/>
  <c r="N149" i="11"/>
  <c r="L94" i="7"/>
  <c r="L95" i="7"/>
  <c r="L96" i="7"/>
  <c r="L97" i="7"/>
  <c r="L92" i="7"/>
  <c r="O93" i="7"/>
  <c r="O94" i="7"/>
  <c r="O95" i="7"/>
  <c r="O96" i="7"/>
  <c r="O97" i="7"/>
  <c r="O92" i="7"/>
  <c r="N64" i="7"/>
  <c r="N57" i="7"/>
  <c r="N56" i="7"/>
  <c r="N50" i="7"/>
  <c r="N49" i="7"/>
  <c r="N48" i="7"/>
  <c r="N40" i="7"/>
  <c r="N41" i="7"/>
  <c r="N36" i="7"/>
  <c r="N29" i="7"/>
  <c r="N28" i="7"/>
  <c r="D87" i="7"/>
  <c r="D85" i="7"/>
  <c r="D73" i="7"/>
  <c r="D65" i="7"/>
  <c r="D64" i="7"/>
  <c r="D63" i="7"/>
  <c r="D62" i="7"/>
  <c r="W33" i="11" l="1"/>
  <c r="V41" i="11"/>
  <c r="U27" i="11"/>
  <c r="V34" i="11"/>
  <c r="V43" i="11" s="1"/>
  <c r="U42" i="11"/>
  <c r="P148" i="11"/>
  <c r="O149" i="11"/>
  <c r="P151" i="11"/>
  <c r="O152" i="11"/>
  <c r="N22" i="7"/>
  <c r="D17" i="7"/>
  <c r="X33" i="11" l="1"/>
  <c r="W41" i="11"/>
  <c r="V27" i="11"/>
  <c r="W34" i="11"/>
  <c r="W43" i="11" s="1"/>
  <c r="V42" i="11"/>
  <c r="Q151" i="11"/>
  <c r="P152" i="11"/>
  <c r="Q148" i="11"/>
  <c r="P149" i="11"/>
  <c r="G72" i="7"/>
  <c r="Y33" i="11" l="1"/>
  <c r="X41" i="11"/>
  <c r="W27" i="11"/>
  <c r="X34" i="11"/>
  <c r="X43" i="11" s="1"/>
  <c r="W42" i="11"/>
  <c r="R148" i="11"/>
  <c r="Q149" i="11"/>
  <c r="R151" i="11"/>
  <c r="Q152" i="11"/>
  <c r="L98" i="7"/>
  <c r="L93" i="7"/>
  <c r="Z33" i="11" l="1"/>
  <c r="Y41" i="11"/>
  <c r="X27" i="11"/>
  <c r="Y34" i="11"/>
  <c r="Y43" i="11" s="1"/>
  <c r="X42" i="11"/>
  <c r="S151" i="11"/>
  <c r="R152" i="11"/>
  <c r="S148" i="11"/>
  <c r="R149" i="11"/>
  <c r="D51" i="9"/>
  <c r="D52" i="9" s="1"/>
  <c r="T29" i="7"/>
  <c r="T28" i="7"/>
  <c r="T30" i="7"/>
  <c r="F73" i="11"/>
  <c r="AA33" i="11" l="1"/>
  <c r="AB33" i="11" s="1"/>
  <c r="AC33" i="11" s="1"/>
  <c r="AD33" i="11" s="1"/>
  <c r="AE33" i="11" s="1"/>
  <c r="AF33" i="11" s="1"/>
  <c r="AG33" i="11" s="1"/>
  <c r="AH33" i="11" s="1"/>
  <c r="AI33" i="11" s="1"/>
  <c r="AJ33" i="11" s="1"/>
  <c r="Z41" i="11"/>
  <c r="Y27" i="11"/>
  <c r="Z34" i="11"/>
  <c r="Z43" i="11" s="1"/>
  <c r="Y42" i="11"/>
  <c r="T148" i="11"/>
  <c r="S149" i="11"/>
  <c r="T151" i="11"/>
  <c r="S152" i="11"/>
  <c r="Q228" i="11"/>
  <c r="Q229" i="11"/>
  <c r="Q230" i="11"/>
  <c r="Q231" i="11"/>
  <c r="Q232" i="11"/>
  <c r="Q233" i="11"/>
  <c r="Q234" i="11"/>
  <c r="Q235" i="11"/>
  <c r="Q236" i="11"/>
  <c r="Q227" i="11"/>
  <c r="P228" i="11"/>
  <c r="P229" i="11"/>
  <c r="P230" i="11"/>
  <c r="P231" i="11"/>
  <c r="P232" i="11"/>
  <c r="P233" i="11"/>
  <c r="P234" i="11"/>
  <c r="P235" i="11"/>
  <c r="P236" i="11"/>
  <c r="P227" i="11"/>
  <c r="M227" i="11"/>
  <c r="M228" i="11"/>
  <c r="M229" i="11"/>
  <c r="M230" i="11"/>
  <c r="M231" i="11"/>
  <c r="M232" i="11"/>
  <c r="M233" i="11"/>
  <c r="M234" i="11"/>
  <c r="M235" i="11"/>
  <c r="M236" i="11"/>
  <c r="L227" i="11"/>
  <c r="L228" i="11"/>
  <c r="L229" i="11"/>
  <c r="L230" i="11"/>
  <c r="L231" i="11"/>
  <c r="L232" i="11"/>
  <c r="L233" i="11"/>
  <c r="L234" i="11"/>
  <c r="L235" i="11"/>
  <c r="L236" i="11"/>
  <c r="I227" i="11"/>
  <c r="I228" i="11"/>
  <c r="I229" i="11"/>
  <c r="I230" i="11"/>
  <c r="I231" i="11"/>
  <c r="I232" i="11"/>
  <c r="I233" i="11"/>
  <c r="I234" i="11"/>
  <c r="I235" i="11"/>
  <c r="I236" i="11"/>
  <c r="H227" i="11"/>
  <c r="H228" i="11"/>
  <c r="H229" i="11"/>
  <c r="H230" i="11"/>
  <c r="H231" i="11"/>
  <c r="H232" i="11"/>
  <c r="H233" i="11"/>
  <c r="H234" i="11"/>
  <c r="H235" i="11"/>
  <c r="H236" i="11"/>
  <c r="F16" i="11"/>
  <c r="F15" i="11" s="1"/>
  <c r="C129" i="12"/>
  <c r="G19" i="11"/>
  <c r="H19" i="11" s="1"/>
  <c r="I19" i="11" s="1"/>
  <c r="J19" i="11" s="1"/>
  <c r="K19" i="11" s="1"/>
  <c r="L19" i="11" s="1"/>
  <c r="M19" i="11" s="1"/>
  <c r="N19" i="11" s="1"/>
  <c r="O19" i="11" s="1"/>
  <c r="P19" i="11" s="1"/>
  <c r="Q19" i="11" s="1"/>
  <c r="R19" i="11" s="1"/>
  <c r="S19" i="11" s="1"/>
  <c r="T19" i="11" s="1"/>
  <c r="U19" i="11" s="1"/>
  <c r="V19" i="11" s="1"/>
  <c r="W19" i="11" s="1"/>
  <c r="X19" i="11" s="1"/>
  <c r="Y19" i="11" s="1"/>
  <c r="Z19" i="11" s="1"/>
  <c r="AA19" i="11" s="1"/>
  <c r="AB19" i="11" s="1"/>
  <c r="AC19" i="11" s="1"/>
  <c r="AD19" i="11" s="1"/>
  <c r="AE19" i="11" s="1"/>
  <c r="AF19" i="11" s="1"/>
  <c r="AG19" i="11" s="1"/>
  <c r="AH19" i="11" s="1"/>
  <c r="AI19" i="11" s="1"/>
  <c r="AJ19" i="11" s="1"/>
  <c r="G44" i="11"/>
  <c r="H44" i="11" s="1"/>
  <c r="I44" i="11" s="1"/>
  <c r="J44" i="11" s="1"/>
  <c r="K44" i="11" s="1"/>
  <c r="L44" i="11" s="1"/>
  <c r="M44" i="11" s="1"/>
  <c r="N44" i="11" s="1"/>
  <c r="O44" i="11" s="1"/>
  <c r="P44" i="11" s="1"/>
  <c r="Q44" i="11" s="1"/>
  <c r="R44" i="11" s="1"/>
  <c r="S44" i="11" s="1"/>
  <c r="T44" i="11" s="1"/>
  <c r="U44" i="11" s="1"/>
  <c r="V44" i="11" s="1"/>
  <c r="W44" i="11" s="1"/>
  <c r="X44" i="11" s="1"/>
  <c r="Y44" i="11" s="1"/>
  <c r="Z44" i="11" s="1"/>
  <c r="AA44" i="11" s="1"/>
  <c r="AB44" i="11" s="1"/>
  <c r="AC44" i="11" s="1"/>
  <c r="AD44" i="11" s="1"/>
  <c r="AE44" i="11" s="1"/>
  <c r="AF44" i="11" s="1"/>
  <c r="AG44" i="11" s="1"/>
  <c r="AH44" i="11" s="1"/>
  <c r="AI44" i="11" s="1"/>
  <c r="AJ44" i="11" s="1"/>
  <c r="Z27" i="11" l="1"/>
  <c r="AA34" i="11"/>
  <c r="AB34" i="11" s="1"/>
  <c r="AC34" i="11" s="1"/>
  <c r="AD34" i="11" s="1"/>
  <c r="AE34" i="11" s="1"/>
  <c r="AF34" i="11" s="1"/>
  <c r="AG34" i="11" s="1"/>
  <c r="AH34" i="11" s="1"/>
  <c r="AI34" i="11" s="1"/>
  <c r="AJ34" i="11" s="1"/>
  <c r="Z42" i="11"/>
  <c r="U151" i="11"/>
  <c r="T152" i="11"/>
  <c r="U148" i="11"/>
  <c r="T149" i="11"/>
  <c r="J226" i="11"/>
  <c r="J227" i="11" s="1"/>
  <c r="J228" i="11" s="1"/>
  <c r="J229" i="11" s="1"/>
  <c r="J230" i="11" s="1"/>
  <c r="J231" i="11" s="1"/>
  <c r="J232" i="11" s="1"/>
  <c r="J233" i="11" s="1"/>
  <c r="J234" i="11" s="1"/>
  <c r="J235" i="11" s="1"/>
  <c r="B201" i="11"/>
  <c r="B187" i="11"/>
  <c r="F72" i="11"/>
  <c r="D8" i="9"/>
  <c r="V148" i="11" l="1"/>
  <c r="U149" i="11"/>
  <c r="V151" i="11"/>
  <c r="U152" i="11"/>
  <c r="AI184" i="11"/>
  <c r="AI77" i="11" s="1"/>
  <c r="AG184" i="11"/>
  <c r="AG77" i="11" s="1"/>
  <c r="AE184" i="11"/>
  <c r="AE77" i="11" s="1"/>
  <c r="AC184" i="11"/>
  <c r="AC77" i="11" s="1"/>
  <c r="AA184" i="11"/>
  <c r="AA77" i="11" s="1"/>
  <c r="Y184" i="11"/>
  <c r="Y77" i="11" s="1"/>
  <c r="W184" i="11"/>
  <c r="W77" i="11" s="1"/>
  <c r="U184" i="11"/>
  <c r="U77" i="11" s="1"/>
  <c r="S184" i="11"/>
  <c r="S77" i="11" s="1"/>
  <c r="AJ198" i="11"/>
  <c r="AH198" i="11"/>
  <c r="AF198" i="11"/>
  <c r="AD198" i="11"/>
  <c r="AB198" i="11"/>
  <c r="Z198" i="11"/>
  <c r="X198" i="11"/>
  <c r="V198" i="11"/>
  <c r="T198" i="11"/>
  <c r="R198" i="11"/>
  <c r="AI198" i="11"/>
  <c r="AG198" i="11"/>
  <c r="AE198" i="11"/>
  <c r="AC198" i="11"/>
  <c r="AA198" i="11"/>
  <c r="Y198" i="11"/>
  <c r="W198" i="11"/>
  <c r="U198" i="11"/>
  <c r="S198" i="11"/>
  <c r="Q198" i="11"/>
  <c r="Q184" i="11"/>
  <c r="Q77" i="11" s="1"/>
  <c r="AJ184" i="11"/>
  <c r="AJ77" i="11" s="1"/>
  <c r="AH184" i="11"/>
  <c r="AH77" i="11" s="1"/>
  <c r="AF184" i="11"/>
  <c r="AF77" i="11" s="1"/>
  <c r="AD184" i="11"/>
  <c r="AD77" i="11" s="1"/>
  <c r="AB184" i="11"/>
  <c r="AB77" i="11" s="1"/>
  <c r="Z184" i="11"/>
  <c r="Z77" i="11" s="1"/>
  <c r="X184" i="11"/>
  <c r="X77" i="11" s="1"/>
  <c r="V184" i="11"/>
  <c r="V77" i="11" s="1"/>
  <c r="T184" i="11"/>
  <c r="T77" i="11" s="1"/>
  <c r="R184" i="11"/>
  <c r="R77" i="11" s="1"/>
  <c r="H217" i="11"/>
  <c r="H60" i="11" s="1"/>
  <c r="I217" i="11"/>
  <c r="I60" i="11" s="1"/>
  <c r="J217" i="11"/>
  <c r="J60" i="11" s="1"/>
  <c r="K217" i="11"/>
  <c r="K60" i="11" s="1"/>
  <c r="L217" i="11"/>
  <c r="L60" i="11" s="1"/>
  <c r="M217" i="11"/>
  <c r="M60" i="11" s="1"/>
  <c r="N217" i="11"/>
  <c r="N60" i="11" s="1"/>
  <c r="O217" i="11"/>
  <c r="O60" i="11" s="1"/>
  <c r="P217" i="11"/>
  <c r="P60" i="11" s="1"/>
  <c r="Q217" i="11"/>
  <c r="Q60" i="11" s="1"/>
  <c r="R217" i="11"/>
  <c r="R60" i="11" s="1"/>
  <c r="S217" i="11"/>
  <c r="S60" i="11" s="1"/>
  <c r="T217" i="11"/>
  <c r="T60" i="11" s="1"/>
  <c r="U217" i="11"/>
  <c r="U60" i="11" s="1"/>
  <c r="V217" i="11"/>
  <c r="V60" i="11" s="1"/>
  <c r="W217" i="11"/>
  <c r="W60" i="11" s="1"/>
  <c r="X217" i="11"/>
  <c r="X60" i="11" s="1"/>
  <c r="Y217" i="11"/>
  <c r="Y60" i="11" s="1"/>
  <c r="Z217" i="11"/>
  <c r="Z60" i="11" s="1"/>
  <c r="AA217" i="11"/>
  <c r="AA60" i="11" s="1"/>
  <c r="AB217" i="11"/>
  <c r="AB60" i="11" s="1"/>
  <c r="AC217" i="11"/>
  <c r="AC60" i="11" s="1"/>
  <c r="AD217" i="11"/>
  <c r="AD60" i="11" s="1"/>
  <c r="AE217" i="11"/>
  <c r="AE60" i="11" s="1"/>
  <c r="AF217" i="11"/>
  <c r="AF60" i="11" s="1"/>
  <c r="AG217" i="11"/>
  <c r="AG60" i="11" s="1"/>
  <c r="AH217" i="11"/>
  <c r="AH60" i="11" s="1"/>
  <c r="AI217" i="11"/>
  <c r="AI60" i="11" s="1"/>
  <c r="AJ217" i="11"/>
  <c r="AJ60" i="11" s="1"/>
  <c r="G217" i="11"/>
  <c r="G60" i="11" s="1"/>
  <c r="H212" i="11"/>
  <c r="I212" i="11"/>
  <c r="J212" i="11"/>
  <c r="K212" i="11"/>
  <c r="L212" i="11"/>
  <c r="M212" i="11"/>
  <c r="N212" i="11"/>
  <c r="O212" i="11"/>
  <c r="P212" i="11"/>
  <c r="Q212" i="11"/>
  <c r="R212" i="11"/>
  <c r="S212" i="11"/>
  <c r="T212" i="11"/>
  <c r="U212" i="11"/>
  <c r="V212" i="11"/>
  <c r="W212" i="11"/>
  <c r="X212" i="11"/>
  <c r="Y212" i="11"/>
  <c r="AA212" i="11"/>
  <c r="AB212" i="11"/>
  <c r="AC212" i="11"/>
  <c r="AF212" i="11"/>
  <c r="AG212" i="11"/>
  <c r="AH212" i="11"/>
  <c r="AI212" i="11"/>
  <c r="I211" i="11"/>
  <c r="J211" i="11"/>
  <c r="K211" i="11"/>
  <c r="L211" i="11"/>
  <c r="M211" i="11"/>
  <c r="N211" i="11"/>
  <c r="O211" i="11"/>
  <c r="P211" i="11"/>
  <c r="Q211" i="11"/>
  <c r="R211" i="11"/>
  <c r="S211" i="11"/>
  <c r="U211" i="11"/>
  <c r="W211" i="11"/>
  <c r="X211" i="11"/>
  <c r="Z211" i="11"/>
  <c r="AB211" i="11"/>
  <c r="AC211" i="11"/>
  <c r="AD211" i="11"/>
  <c r="AE211" i="11"/>
  <c r="AH211" i="11"/>
  <c r="AI211" i="11"/>
  <c r="AJ211" i="11"/>
  <c r="G40" i="11"/>
  <c r="H20" i="11"/>
  <c r="I20" i="11"/>
  <c r="J20" i="11"/>
  <c r="K20" i="11"/>
  <c r="L20" i="11"/>
  <c r="M20" i="11"/>
  <c r="N20" i="11"/>
  <c r="O20" i="11"/>
  <c r="P20" i="11"/>
  <c r="Q20" i="11"/>
  <c r="R20" i="11"/>
  <c r="S20" i="11"/>
  <c r="T20" i="11"/>
  <c r="U20" i="11"/>
  <c r="G20" i="11"/>
  <c r="O30" i="7"/>
  <c r="G120" i="12"/>
  <c r="H120" i="12"/>
  <c r="I120" i="12"/>
  <c r="J120" i="12"/>
  <c r="K120" i="12"/>
  <c r="M120" i="12"/>
  <c r="G119" i="12"/>
  <c r="H119" i="12"/>
  <c r="I119" i="12"/>
  <c r="J119" i="12"/>
  <c r="K119" i="12"/>
  <c r="L119" i="12"/>
  <c r="M119" i="12"/>
  <c r="N119" i="12"/>
  <c r="G118" i="12"/>
  <c r="H118" i="12"/>
  <c r="I118" i="12"/>
  <c r="J118" i="12"/>
  <c r="K118" i="12"/>
  <c r="L118" i="12"/>
  <c r="M118" i="12"/>
  <c r="N118" i="12"/>
  <c r="G117" i="12"/>
  <c r="H117" i="12"/>
  <c r="I117" i="12"/>
  <c r="J117" i="12"/>
  <c r="K117" i="12"/>
  <c r="L117" i="12"/>
  <c r="M117" i="12"/>
  <c r="N117" i="12"/>
  <c r="G116" i="12"/>
  <c r="H116" i="12"/>
  <c r="I116" i="12"/>
  <c r="J116" i="12"/>
  <c r="K116" i="12"/>
  <c r="L116" i="12"/>
  <c r="M116" i="12"/>
  <c r="N116" i="12"/>
  <c r="W151" i="11" l="1"/>
  <c r="V152" i="11"/>
  <c r="W148" i="11"/>
  <c r="V149" i="11"/>
  <c r="K121" i="12"/>
  <c r="I121" i="12"/>
  <c r="G121" i="12"/>
  <c r="M121" i="12"/>
  <c r="J121" i="12"/>
  <c r="H121" i="12"/>
  <c r="D9" i="9"/>
  <c r="X148" i="11" l="1"/>
  <c r="W149" i="11"/>
  <c r="X151" i="11"/>
  <c r="W152" i="11"/>
  <c r="C123" i="12"/>
  <c r="Y151" i="11" l="1"/>
  <c r="X152" i="11"/>
  <c r="Y148" i="11"/>
  <c r="X149" i="11"/>
  <c r="P35" i="10"/>
  <c r="P33" i="10"/>
  <c r="P36" i="10"/>
  <c r="P34" i="10"/>
  <c r="AI221" i="11"/>
  <c r="AI59" i="11" s="1"/>
  <c r="G35" i="10" s="1"/>
  <c r="AB221" i="11"/>
  <c r="AB59" i="11" s="1"/>
  <c r="G28" i="10" s="1"/>
  <c r="X221" i="11"/>
  <c r="X59" i="11" s="1"/>
  <c r="G24" i="10" s="1"/>
  <c r="R221" i="11"/>
  <c r="R59" i="11" s="1"/>
  <c r="G18" i="10" s="1"/>
  <c r="P221" i="11"/>
  <c r="P59" i="11" s="1"/>
  <c r="G16" i="10" s="1"/>
  <c r="N221" i="11"/>
  <c r="N59" i="11" s="1"/>
  <c r="G14" i="10" s="1"/>
  <c r="L221" i="11"/>
  <c r="L59" i="11" s="1"/>
  <c r="G12" i="10" s="1"/>
  <c r="J221" i="11"/>
  <c r="J59" i="11" s="1"/>
  <c r="G10" i="10" s="1"/>
  <c r="AH221" i="11"/>
  <c r="AH59" i="11" s="1"/>
  <c r="G34" i="10" s="1"/>
  <c r="AC221" i="11"/>
  <c r="AC59" i="11" s="1"/>
  <c r="G29" i="10" s="1"/>
  <c r="W221" i="11"/>
  <c r="W59" i="11" s="1"/>
  <c r="G23" i="10" s="1"/>
  <c r="S221" i="11"/>
  <c r="S59" i="11" s="1"/>
  <c r="G19" i="10" s="1"/>
  <c r="Q221" i="11"/>
  <c r="Q59" i="11" s="1"/>
  <c r="G17" i="10" s="1"/>
  <c r="O221" i="11"/>
  <c r="O59" i="11" s="1"/>
  <c r="G15" i="10" s="1"/>
  <c r="M221" i="11"/>
  <c r="M59" i="11" s="1"/>
  <c r="G13" i="10" s="1"/>
  <c r="K221" i="11"/>
  <c r="K59" i="11" s="1"/>
  <c r="G11" i="10" s="1"/>
  <c r="I221" i="11"/>
  <c r="I59" i="11" s="1"/>
  <c r="G9" i="10" s="1"/>
  <c r="Z148" i="11" l="1"/>
  <c r="Y149" i="11"/>
  <c r="Z151" i="11"/>
  <c r="Y152" i="11"/>
  <c r="B84" i="11"/>
  <c r="F120" i="12"/>
  <c r="F119" i="12"/>
  <c r="F118" i="12"/>
  <c r="F117" i="12"/>
  <c r="F116" i="12"/>
  <c r="C108" i="12"/>
  <c r="C101" i="12"/>
  <c r="D101" i="12" s="1"/>
  <c r="C76" i="12"/>
  <c r="C118" i="12" s="1"/>
  <c r="C51" i="12"/>
  <c r="D51" i="12" s="1"/>
  <c r="C26" i="12"/>
  <c r="H141" i="11"/>
  <c r="I141" i="11"/>
  <c r="J141" i="11"/>
  <c r="K141" i="11"/>
  <c r="L141" i="11"/>
  <c r="M141" i="11"/>
  <c r="N141" i="11"/>
  <c r="O141" i="11"/>
  <c r="Q141" i="11"/>
  <c r="S141" i="11"/>
  <c r="T141" i="11"/>
  <c r="U141" i="11"/>
  <c r="V141" i="11"/>
  <c r="W141" i="11"/>
  <c r="X141" i="11"/>
  <c r="Y141" i="11"/>
  <c r="Z141" i="11"/>
  <c r="AA141" i="11"/>
  <c r="AB141" i="11"/>
  <c r="AC141" i="11"/>
  <c r="AD141" i="11"/>
  <c r="AE141" i="11"/>
  <c r="AF141" i="11"/>
  <c r="AG141" i="11"/>
  <c r="AH141" i="11"/>
  <c r="AI141" i="11"/>
  <c r="AJ141" i="11"/>
  <c r="H144" i="11"/>
  <c r="I144" i="11"/>
  <c r="J144" i="11"/>
  <c r="K144" i="11"/>
  <c r="L144" i="11"/>
  <c r="M144" i="11"/>
  <c r="N144" i="11"/>
  <c r="O144" i="11"/>
  <c r="P144" i="11"/>
  <c r="Q144" i="11"/>
  <c r="R144" i="11"/>
  <c r="S144" i="11"/>
  <c r="T144" i="11"/>
  <c r="U144" i="11"/>
  <c r="V144" i="11"/>
  <c r="W144" i="11"/>
  <c r="X144" i="11"/>
  <c r="Y144" i="11"/>
  <c r="AA144" i="11"/>
  <c r="AB144" i="11"/>
  <c r="AC144" i="11"/>
  <c r="AD144" i="11"/>
  <c r="AE144" i="11"/>
  <c r="AF144" i="11"/>
  <c r="AG144" i="11"/>
  <c r="AH144" i="11"/>
  <c r="AI144" i="11"/>
  <c r="AJ144" i="11"/>
  <c r="G144" i="11"/>
  <c r="G145" i="11" s="1"/>
  <c r="G146" i="11" s="1"/>
  <c r="G141" i="11"/>
  <c r="G142" i="11" s="1"/>
  <c r="Z144" i="11"/>
  <c r="P141" i="11"/>
  <c r="H13" i="11"/>
  <c r="H23" i="11" s="1"/>
  <c r="H12" i="11"/>
  <c r="W116" i="11"/>
  <c r="X116" i="11"/>
  <c r="Y116" i="11"/>
  <c r="Z116" i="11"/>
  <c r="AA116" i="11"/>
  <c r="AB116" i="11"/>
  <c r="AC116" i="11"/>
  <c r="AD116" i="11"/>
  <c r="AE116" i="11"/>
  <c r="AF116" i="11"/>
  <c r="AG116" i="11"/>
  <c r="AH116" i="11"/>
  <c r="AI116" i="11"/>
  <c r="AJ116" i="11"/>
  <c r="M115" i="11"/>
  <c r="N115" i="11"/>
  <c r="O115" i="11"/>
  <c r="P115" i="11"/>
  <c r="Q115" i="11"/>
  <c r="R115" i="11"/>
  <c r="S115" i="11"/>
  <c r="T115" i="11"/>
  <c r="U115" i="11"/>
  <c r="V115" i="11"/>
  <c r="W115" i="11"/>
  <c r="X115" i="11"/>
  <c r="Y115" i="11"/>
  <c r="Z115" i="11"/>
  <c r="AA115" i="11"/>
  <c r="AB115" i="11"/>
  <c r="AC115" i="11"/>
  <c r="AD115" i="11"/>
  <c r="AE115" i="11"/>
  <c r="AF115" i="11"/>
  <c r="AG115" i="11"/>
  <c r="AH115" i="11"/>
  <c r="AI115" i="11"/>
  <c r="AJ115" i="11"/>
  <c r="F93" i="11"/>
  <c r="H32" i="11"/>
  <c r="H38" i="11" s="1"/>
  <c r="H11" i="11"/>
  <c r="H4" i="11"/>
  <c r="H5" i="11" s="1"/>
  <c r="H6" i="11" s="1"/>
  <c r="H28" i="11" s="1"/>
  <c r="F99" i="11"/>
  <c r="AJ117" i="11"/>
  <c r="AI117" i="11"/>
  <c r="AH117" i="11"/>
  <c r="AG117" i="11"/>
  <c r="AF117" i="11"/>
  <c r="AE117" i="11"/>
  <c r="AD117" i="11"/>
  <c r="AC117" i="11"/>
  <c r="AB117" i="11"/>
  <c r="AA151" i="11" l="1"/>
  <c r="Z152" i="11"/>
  <c r="AA148" i="11"/>
  <c r="Z149" i="11"/>
  <c r="H37" i="11"/>
  <c r="H45" i="11"/>
  <c r="I32" i="11"/>
  <c r="I38" i="11" s="1"/>
  <c r="H40" i="11"/>
  <c r="I12" i="11"/>
  <c r="D26" i="12"/>
  <c r="D116" i="12" s="1"/>
  <c r="C107" i="12"/>
  <c r="L120" i="12" s="1"/>
  <c r="L121" i="12" s="1"/>
  <c r="R141" i="11"/>
  <c r="F121" i="12"/>
  <c r="C106" i="12"/>
  <c r="D117" i="12"/>
  <c r="D119" i="12"/>
  <c r="C117" i="12"/>
  <c r="C119" i="12"/>
  <c r="D76" i="12"/>
  <c r="D118" i="12" s="1"/>
  <c r="C116" i="12"/>
  <c r="G143" i="11"/>
  <c r="H142" i="11"/>
  <c r="H143" i="11" s="1"/>
  <c r="H145" i="11"/>
  <c r="H146" i="11" s="1"/>
  <c r="I13" i="11"/>
  <c r="I23" i="11" s="1"/>
  <c r="F30" i="7"/>
  <c r="I11" i="11"/>
  <c r="I4" i="11"/>
  <c r="I5" i="11" s="1"/>
  <c r="I6" i="11" s="1"/>
  <c r="I28" i="11" s="1"/>
  <c r="AB148" i="11" l="1"/>
  <c r="AA149" i="11"/>
  <c r="AB151" i="11"/>
  <c r="AA152" i="11"/>
  <c r="I37" i="11"/>
  <c r="I45" i="11"/>
  <c r="J32" i="11"/>
  <c r="J38" i="11" s="1"/>
  <c r="I40" i="11"/>
  <c r="C130" i="12"/>
  <c r="C131" i="12" s="1"/>
  <c r="C132" i="12" s="1"/>
  <c r="C133" i="12" s="1"/>
  <c r="C134" i="12" s="1"/>
  <c r="C135" i="12" s="1"/>
  <c r="C136" i="12" s="1"/>
  <c r="C137" i="12" s="1"/>
  <c r="C138" i="12" s="1"/>
  <c r="C139" i="12" s="1"/>
  <c r="C140" i="12" s="1"/>
  <c r="C141" i="12" s="1"/>
  <c r="C142" i="12" s="1"/>
  <c r="C143" i="12" s="1"/>
  <c r="C144" i="12" s="1"/>
  <c r="C145" i="12" s="1"/>
  <c r="C146" i="12" s="1"/>
  <c r="C147" i="12" s="1"/>
  <c r="C148" i="12" s="1"/>
  <c r="C149" i="12" s="1"/>
  <c r="C150" i="12" s="1"/>
  <c r="C151" i="12" s="1"/>
  <c r="C152" i="12" s="1"/>
  <c r="C153" i="12" s="1"/>
  <c r="C154" i="12" s="1"/>
  <c r="C155" i="12" s="1"/>
  <c r="C156" i="12" s="1"/>
  <c r="C157" i="12" s="1"/>
  <c r="C158" i="12" s="1"/>
  <c r="G59" i="7"/>
  <c r="J12" i="11"/>
  <c r="J11" i="11"/>
  <c r="I142" i="11"/>
  <c r="I145" i="11"/>
  <c r="I146" i="11" s="1"/>
  <c r="J13" i="11"/>
  <c r="J23" i="11" s="1"/>
  <c r="J4" i="11"/>
  <c r="J5" i="11" s="1"/>
  <c r="J6" i="11" s="1"/>
  <c r="J28" i="11" s="1"/>
  <c r="AC151" i="11" l="1"/>
  <c r="AB152" i="11"/>
  <c r="AC148" i="11"/>
  <c r="AB149" i="11"/>
  <c r="J37" i="11"/>
  <c r="J45" i="11"/>
  <c r="K32" i="11"/>
  <c r="K38" i="11" s="1"/>
  <c r="J40" i="11"/>
  <c r="K12" i="11"/>
  <c r="K11" i="11"/>
  <c r="J142" i="11"/>
  <c r="I143" i="11"/>
  <c r="J145" i="11"/>
  <c r="J146" i="11" s="1"/>
  <c r="K13" i="11"/>
  <c r="K23" i="11" s="1"/>
  <c r="K4" i="11"/>
  <c r="K5" i="11" s="1"/>
  <c r="K6" i="11" s="1"/>
  <c r="K28" i="11" s="1"/>
  <c r="AD148" i="11" l="1"/>
  <c r="AC149" i="11"/>
  <c r="AD151" i="11"/>
  <c r="AC152" i="11"/>
  <c r="K37" i="11"/>
  <c r="K45" i="11"/>
  <c r="L32" i="11"/>
  <c r="L38" i="11" s="1"/>
  <c r="K40" i="11"/>
  <c r="L12" i="11"/>
  <c r="L11" i="11"/>
  <c r="K142" i="11"/>
  <c r="J143" i="11"/>
  <c r="K145" i="11"/>
  <c r="K146" i="11" s="1"/>
  <c r="L13" i="11"/>
  <c r="L23" i="11" s="1"/>
  <c r="L4" i="11"/>
  <c r="L5" i="11" s="1"/>
  <c r="L6" i="11" s="1"/>
  <c r="L28" i="11" s="1"/>
  <c r="AE151" i="11" l="1"/>
  <c r="AD152" i="11"/>
  <c r="AE148" i="11"/>
  <c r="AD149" i="11"/>
  <c r="L37" i="11"/>
  <c r="L45" i="11"/>
  <c r="M32" i="11"/>
  <c r="M38" i="11" s="1"/>
  <c r="L40" i="11"/>
  <c r="M12" i="11"/>
  <c r="M11" i="11"/>
  <c r="L142" i="11"/>
  <c r="K143" i="11"/>
  <c r="L145" i="11"/>
  <c r="L146" i="11" s="1"/>
  <c r="M13" i="11"/>
  <c r="M23" i="11" s="1"/>
  <c r="M4" i="11"/>
  <c r="M5" i="11" s="1"/>
  <c r="M6" i="11" s="1"/>
  <c r="M28" i="11" s="1"/>
  <c r="AF148" i="11" l="1"/>
  <c r="AE149" i="11"/>
  <c r="AF151" i="11"/>
  <c r="AE152" i="11"/>
  <c r="M37" i="11"/>
  <c r="M45" i="11"/>
  <c r="N32" i="11"/>
  <c r="N38" i="11" s="1"/>
  <c r="M40" i="11"/>
  <c r="N12" i="11"/>
  <c r="N11" i="11"/>
  <c r="M142" i="11"/>
  <c r="L143" i="11"/>
  <c r="M145" i="11"/>
  <c r="M146" i="11" s="1"/>
  <c r="N13" i="11"/>
  <c r="N23" i="11" s="1"/>
  <c r="N4" i="11"/>
  <c r="N5" i="11" s="1"/>
  <c r="N6" i="11" s="1"/>
  <c r="N28" i="11" s="1"/>
  <c r="AG151" i="11" l="1"/>
  <c r="AF152" i="11"/>
  <c r="AG148" i="11"/>
  <c r="AF149" i="11"/>
  <c r="N37" i="11"/>
  <c r="N45" i="11"/>
  <c r="O32" i="11"/>
  <c r="O38" i="11" s="1"/>
  <c r="N40" i="11"/>
  <c r="O12" i="11"/>
  <c r="O11" i="11"/>
  <c r="N142" i="11"/>
  <c r="M143" i="11"/>
  <c r="N145" i="11"/>
  <c r="N146" i="11" s="1"/>
  <c r="O13" i="11"/>
  <c r="O23" i="11" s="1"/>
  <c r="O4" i="11"/>
  <c r="O5" i="11" s="1"/>
  <c r="O6" i="11" s="1"/>
  <c r="O28" i="11" s="1"/>
  <c r="AH148" i="11" l="1"/>
  <c r="AG149" i="11"/>
  <c r="AH151" i="11"/>
  <c r="AG152" i="11"/>
  <c r="O37" i="11"/>
  <c r="O45" i="11"/>
  <c r="P32" i="11"/>
  <c r="P38" i="11" s="1"/>
  <c r="O40" i="11"/>
  <c r="P12" i="11"/>
  <c r="P11" i="11"/>
  <c r="O142" i="11"/>
  <c r="N143" i="11"/>
  <c r="O145" i="11"/>
  <c r="O146" i="11" s="1"/>
  <c r="P13" i="11"/>
  <c r="P23" i="11" s="1"/>
  <c r="P4" i="11"/>
  <c r="P5" i="11" s="1"/>
  <c r="P6" i="11" s="1"/>
  <c r="P28" i="11" s="1"/>
  <c r="AI151" i="11" l="1"/>
  <c r="AH152" i="11"/>
  <c r="AI148" i="11"/>
  <c r="AH149" i="11"/>
  <c r="P37" i="11"/>
  <c r="P45" i="11"/>
  <c r="Q32" i="11"/>
  <c r="Q38" i="11" s="1"/>
  <c r="P40" i="11"/>
  <c r="Q12" i="11"/>
  <c r="R12" i="11" s="1"/>
  <c r="S12" i="11" s="1"/>
  <c r="T12" i="11" s="1"/>
  <c r="U12" i="11" s="1"/>
  <c r="V12" i="11" s="1"/>
  <c r="W12" i="11" s="1"/>
  <c r="X12" i="11" s="1"/>
  <c r="Y12" i="11" s="1"/>
  <c r="Z12" i="11" s="1"/>
  <c r="AA12" i="11" s="1"/>
  <c r="AB12" i="11" s="1"/>
  <c r="AC12" i="11" s="1"/>
  <c r="AD12" i="11" s="1"/>
  <c r="AE12" i="11" s="1"/>
  <c r="AF12" i="11" s="1"/>
  <c r="AG12" i="11" s="1"/>
  <c r="AH12" i="11" s="1"/>
  <c r="AI12" i="11" s="1"/>
  <c r="AJ12" i="11" s="1"/>
  <c r="O143" i="11"/>
  <c r="P142" i="11"/>
  <c r="Q11" i="11"/>
  <c r="P145" i="11"/>
  <c r="P146" i="11" s="1"/>
  <c r="Q13" i="11"/>
  <c r="R13" i="11" s="1"/>
  <c r="S13" i="11" s="1"/>
  <c r="T13" i="11" s="1"/>
  <c r="U13" i="11" s="1"/>
  <c r="V13" i="11" s="1"/>
  <c r="W13" i="11" s="1"/>
  <c r="X13" i="11" s="1"/>
  <c r="Y13" i="11" s="1"/>
  <c r="Z13" i="11" s="1"/>
  <c r="AA13" i="11" s="1"/>
  <c r="AB13" i="11" s="1"/>
  <c r="AC13" i="11" s="1"/>
  <c r="AD13" i="11" s="1"/>
  <c r="AE13" i="11" s="1"/>
  <c r="AF13" i="11" s="1"/>
  <c r="AG13" i="11" s="1"/>
  <c r="AH13" i="11" s="1"/>
  <c r="AI13" i="11" s="1"/>
  <c r="AJ13" i="11" s="1"/>
  <c r="Q4" i="11"/>
  <c r="Q5" i="11" s="1"/>
  <c r="Q6" i="11" s="1"/>
  <c r="Q28" i="11" s="1"/>
  <c r="AJ148" i="11" l="1"/>
  <c r="AJ149" i="11" s="1"/>
  <c r="AI149" i="11"/>
  <c r="AJ151" i="11"/>
  <c r="AJ152" i="11" s="1"/>
  <c r="AI152" i="11"/>
  <c r="Q37" i="11"/>
  <c r="Q45" i="11"/>
  <c r="R32" i="11"/>
  <c r="R38" i="11" s="1"/>
  <c r="Q40" i="11"/>
  <c r="P143" i="11"/>
  <c r="Q142" i="11"/>
  <c r="R11" i="11"/>
  <c r="Q145" i="11"/>
  <c r="Q146" i="11" s="1"/>
  <c r="R4" i="11"/>
  <c r="R5" i="11" s="1"/>
  <c r="R6" i="11" s="1"/>
  <c r="R28" i="11" s="1"/>
  <c r="R37" i="11" l="1"/>
  <c r="R45" i="11"/>
  <c r="S32" i="11"/>
  <c r="S38" i="11" s="1"/>
  <c r="R40" i="11"/>
  <c r="Q143" i="11"/>
  <c r="R142" i="11"/>
  <c r="S11" i="11"/>
  <c r="R145" i="11"/>
  <c r="R146" i="11" s="1"/>
  <c r="S4" i="11"/>
  <c r="S5" i="11" s="1"/>
  <c r="S6" i="11" s="1"/>
  <c r="S28" i="11" s="1"/>
  <c r="S37" i="11" l="1"/>
  <c r="S45" i="11"/>
  <c r="T32" i="11"/>
  <c r="T38" i="11" s="1"/>
  <c r="S40" i="11"/>
  <c r="R143" i="11"/>
  <c r="S142" i="11"/>
  <c r="T11" i="11"/>
  <c r="S145" i="11"/>
  <c r="S146" i="11" s="1"/>
  <c r="T4" i="11"/>
  <c r="T5" i="11" s="1"/>
  <c r="T6" i="11" s="1"/>
  <c r="T28" i="11" s="1"/>
  <c r="T37" i="11" l="1"/>
  <c r="T45" i="11"/>
  <c r="U32" i="11"/>
  <c r="U38" i="11" s="1"/>
  <c r="T40" i="11"/>
  <c r="S143" i="11"/>
  <c r="T142" i="11"/>
  <c r="U11" i="11"/>
  <c r="T145" i="11"/>
  <c r="T146" i="11" s="1"/>
  <c r="U4" i="11"/>
  <c r="U5" i="11" s="1"/>
  <c r="U6" i="11" s="1"/>
  <c r="U28" i="11" s="1"/>
  <c r="U37" i="11" l="1"/>
  <c r="U45" i="11"/>
  <c r="V32" i="11"/>
  <c r="V38" i="11" s="1"/>
  <c r="U40" i="11"/>
  <c r="T143" i="11"/>
  <c r="U142" i="11"/>
  <c r="V11" i="11"/>
  <c r="U145" i="11"/>
  <c r="U146" i="11" s="1"/>
  <c r="V4" i="11"/>
  <c r="V5" i="11" s="1"/>
  <c r="V6" i="11" s="1"/>
  <c r="V28" i="11" s="1"/>
  <c r="V37" i="11" l="1"/>
  <c r="V45" i="11"/>
  <c r="W32" i="11"/>
  <c r="W38" i="11" s="1"/>
  <c r="V40" i="11"/>
  <c r="V142" i="11"/>
  <c r="U143" i="11"/>
  <c r="W11" i="11"/>
  <c r="V145" i="11"/>
  <c r="V146" i="11" s="1"/>
  <c r="W4" i="11"/>
  <c r="W5" i="11" s="1"/>
  <c r="W6" i="11" s="1"/>
  <c r="W28" i="11" s="1"/>
  <c r="W37" i="11" l="1"/>
  <c r="W45" i="11"/>
  <c r="X32" i="11"/>
  <c r="X38" i="11" s="1"/>
  <c r="W40" i="11"/>
  <c r="V143" i="11"/>
  <c r="W142" i="11"/>
  <c r="X11" i="11"/>
  <c r="W145" i="11"/>
  <c r="W146" i="11" s="1"/>
  <c r="X4" i="11"/>
  <c r="X5" i="11" s="1"/>
  <c r="X6" i="11" s="1"/>
  <c r="X28" i="11" s="1"/>
  <c r="X37" i="11" l="1"/>
  <c r="X45" i="11"/>
  <c r="Y32" i="11"/>
  <c r="Y38" i="11" s="1"/>
  <c r="X40" i="11"/>
  <c r="W143" i="11"/>
  <c r="X142" i="11"/>
  <c r="Y11" i="11"/>
  <c r="X145" i="11"/>
  <c r="X146" i="11" s="1"/>
  <c r="Y4" i="11"/>
  <c r="Y5" i="11" s="1"/>
  <c r="Y6" i="11" s="1"/>
  <c r="Y28" i="11" s="1"/>
  <c r="Y37" i="11" l="1"/>
  <c r="Y45" i="11"/>
  <c r="Z32" i="11"/>
  <c r="Z38" i="11" s="1"/>
  <c r="Y40" i="11"/>
  <c r="Y142" i="11"/>
  <c r="X143" i="11"/>
  <c r="Z11" i="11"/>
  <c r="Y145" i="11"/>
  <c r="Z4" i="11"/>
  <c r="Z5" i="11" s="1"/>
  <c r="Z6" i="11" s="1"/>
  <c r="Z28" i="11" s="1"/>
  <c r="Z37" i="11" l="1"/>
  <c r="Z45" i="11"/>
  <c r="AA32" i="11"/>
  <c r="AA37" i="11" s="1"/>
  <c r="Z40" i="11"/>
  <c r="Y146" i="11"/>
  <c r="Z145" i="11"/>
  <c r="Y143" i="11"/>
  <c r="Z142" i="11"/>
  <c r="AA11" i="11"/>
  <c r="AA4" i="11"/>
  <c r="AB32" i="11" l="1"/>
  <c r="AB37" i="11" s="1"/>
  <c r="AA40" i="11"/>
  <c r="Z143" i="11"/>
  <c r="AA142" i="11"/>
  <c r="Z146" i="11"/>
  <c r="AA145" i="11"/>
  <c r="AB11" i="11"/>
  <c r="AB4" i="11"/>
  <c r="AC32" i="11" l="1"/>
  <c r="AC37" i="11" s="1"/>
  <c r="AB40" i="11"/>
  <c r="AA146" i="11"/>
  <c r="AB145" i="11"/>
  <c r="AB142" i="11"/>
  <c r="AA143" i="11"/>
  <c r="AC11" i="11"/>
  <c r="AC4" i="11"/>
  <c r="AD32" i="11" l="1"/>
  <c r="AD37" i="11" s="1"/>
  <c r="AC40" i="11"/>
  <c r="AB146" i="11"/>
  <c r="AC145" i="11"/>
  <c r="AC142" i="11"/>
  <c r="AB143" i="11"/>
  <c r="AD11" i="11"/>
  <c r="AD4" i="11"/>
  <c r="AE32" i="11" l="1"/>
  <c r="AE37" i="11" s="1"/>
  <c r="AD40" i="11"/>
  <c r="AC146" i="11"/>
  <c r="AD145" i="11"/>
  <c r="AC143" i="11"/>
  <c r="AD142" i="11"/>
  <c r="AE11" i="11"/>
  <c r="AE4" i="11"/>
  <c r="AF32" i="11" l="1"/>
  <c r="AE40" i="11"/>
  <c r="AE142" i="11"/>
  <c r="AD143" i="11"/>
  <c r="AD146" i="11"/>
  <c r="AE145" i="11"/>
  <c r="AF11" i="11"/>
  <c r="AG11" i="11" s="1"/>
  <c r="AH11" i="11" s="1"/>
  <c r="AI11" i="11" s="1"/>
  <c r="AJ11" i="11" s="1"/>
  <c r="AF4" i="11"/>
  <c r="AG32" i="11" l="1"/>
  <c r="AF40" i="11"/>
  <c r="AE146" i="11"/>
  <c r="AF145" i="11"/>
  <c r="AF142" i="11"/>
  <c r="AE143" i="11"/>
  <c r="AG4" i="11"/>
  <c r="AH32" i="11" l="1"/>
  <c r="AG40" i="11"/>
  <c r="AF146" i="11"/>
  <c r="AG145" i="11"/>
  <c r="AF143" i="11"/>
  <c r="AG142" i="11"/>
  <c r="AH4" i="11"/>
  <c r="AI32" i="11" l="1"/>
  <c r="AH40" i="11"/>
  <c r="AH142" i="11"/>
  <c r="AG143" i="11"/>
  <c r="AG146" i="11"/>
  <c r="AH145" i="11"/>
  <c r="AI4" i="11"/>
  <c r="AJ32" i="11" l="1"/>
  <c r="AI40" i="11"/>
  <c r="AH146" i="11"/>
  <c r="AI145" i="11"/>
  <c r="AI142" i="11"/>
  <c r="AH143" i="11"/>
  <c r="AJ4" i="11"/>
  <c r="AJ40" i="11" l="1"/>
  <c r="AI146" i="11"/>
  <c r="AJ145" i="11"/>
  <c r="AJ146" i="11" s="1"/>
  <c r="AI143" i="11"/>
  <c r="AJ142" i="11"/>
  <c r="AJ143" i="11" s="1"/>
  <c r="B80" i="12" l="1"/>
  <c r="D47" i="9"/>
  <c r="D43" i="9"/>
  <c r="D44" i="9"/>
  <c r="D26" i="9"/>
  <c r="D42" i="9"/>
  <c r="G89" i="7"/>
  <c r="D49" i="9" l="1"/>
  <c r="D48" i="9"/>
  <c r="D46" i="9"/>
  <c r="D45" i="9"/>
  <c r="AF24" i="11"/>
  <c r="AH24" i="11"/>
  <c r="AJ24" i="11"/>
  <c r="AG24" i="11"/>
  <c r="AI24" i="11"/>
  <c r="H24" i="11"/>
  <c r="I24" i="11"/>
  <c r="J24" i="11"/>
  <c r="K24" i="11"/>
  <c r="L24" i="11"/>
  <c r="M24" i="11"/>
  <c r="N24" i="11"/>
  <c r="O24" i="11"/>
  <c r="P24" i="11"/>
  <c r="V24" i="11"/>
  <c r="W24" i="11"/>
  <c r="X24" i="11"/>
  <c r="Y24" i="11"/>
  <c r="Z24" i="11"/>
  <c r="AA24" i="11"/>
  <c r="AB24" i="11"/>
  <c r="AC24" i="11"/>
  <c r="AD24" i="11"/>
  <c r="AE24" i="11"/>
  <c r="G24" i="11"/>
  <c r="U24" i="11" l="1"/>
  <c r="S24" i="11"/>
  <c r="Q24" i="11"/>
  <c r="T24" i="11"/>
  <c r="R24" i="11"/>
  <c r="P198" i="11"/>
  <c r="O198" i="11"/>
  <c r="M198" i="11"/>
  <c r="N198" i="11"/>
  <c r="L198" i="11"/>
  <c r="AG20" i="11"/>
  <c r="AG22" i="11"/>
  <c r="AI22" i="11"/>
  <c r="AI20" i="11"/>
  <c r="AJ22" i="11"/>
  <c r="AJ20" i="11"/>
  <c r="AF20" i="11"/>
  <c r="AF22" i="11"/>
  <c r="AH20" i="11"/>
  <c r="AH22" i="11"/>
  <c r="AE20" i="11"/>
  <c r="AA20" i="11"/>
  <c r="AD20" i="11"/>
  <c r="AB20" i="11"/>
  <c r="AC20" i="11"/>
  <c r="Z20" i="11"/>
  <c r="X20" i="11"/>
  <c r="V20" i="11"/>
  <c r="Y20" i="11"/>
  <c r="W20" i="11"/>
  <c r="AE22" i="11"/>
  <c r="AC22" i="11"/>
  <c r="AA22" i="11"/>
  <c r="AD22" i="11"/>
  <c r="AB22" i="11"/>
  <c r="Z22" i="11"/>
  <c r="X22" i="11"/>
  <c r="V22" i="11"/>
  <c r="T22" i="11"/>
  <c r="P22" i="11"/>
  <c r="N22" i="11"/>
  <c r="L22" i="11"/>
  <c r="J22" i="11"/>
  <c r="H22" i="11"/>
  <c r="Y22" i="11"/>
  <c r="W22" i="11"/>
  <c r="U22" i="11"/>
  <c r="S22" i="11"/>
  <c r="Q22" i="11"/>
  <c r="O22" i="11"/>
  <c r="M22" i="11"/>
  <c r="K22" i="11"/>
  <c r="I22" i="11"/>
  <c r="G22" i="11"/>
  <c r="R22" i="11"/>
  <c r="B105" i="12"/>
  <c r="F28" i="7" l="1"/>
  <c r="B55" i="12"/>
  <c r="B30" i="12"/>
  <c r="B5" i="12"/>
  <c r="AH98" i="11" l="1"/>
  <c r="AJ98" i="11"/>
  <c r="AH99" i="11"/>
  <c r="AJ99" i="11"/>
  <c r="AG98" i="11"/>
  <c r="AI98" i="11"/>
  <c r="AG99" i="11"/>
  <c r="AI99" i="11"/>
  <c r="AG104" i="11" l="1"/>
  <c r="AG58" i="11"/>
  <c r="AI55" i="11"/>
  <c r="AI97" i="11"/>
  <c r="F35" i="10" s="1"/>
  <c r="AH104" i="11"/>
  <c r="AH58" i="11"/>
  <c r="AJ55" i="11"/>
  <c r="AJ97" i="11"/>
  <c r="F36" i="10" s="1"/>
  <c r="AI104" i="11"/>
  <c r="AI58" i="11"/>
  <c r="AG55" i="11"/>
  <c r="AG97" i="11"/>
  <c r="F33" i="10" s="1"/>
  <c r="AJ104" i="11"/>
  <c r="AJ58" i="11"/>
  <c r="AH55" i="11"/>
  <c r="AH97" i="11"/>
  <c r="F34" i="10" s="1"/>
  <c r="U221" i="11" l="1"/>
  <c r="U59" i="11" s="1"/>
  <c r="G21" i="10" s="1"/>
  <c r="J236" i="11" l="1"/>
  <c r="N236" i="11" s="1"/>
  <c r="N226" i="11" l="1"/>
  <c r="N227" i="11" s="1"/>
  <c r="N228" i="11" s="1"/>
  <c r="N229" i="11" s="1"/>
  <c r="N230" i="11" s="1"/>
  <c r="N231" i="11" s="1"/>
  <c r="N232" i="11" s="1"/>
  <c r="N233" i="11" s="1"/>
  <c r="N234" i="11" s="1"/>
  <c r="N235" i="11" s="1"/>
  <c r="S225" i="11" l="1"/>
  <c r="R225" i="11"/>
  <c r="G84" i="11" s="1"/>
  <c r="G15" i="11" l="1"/>
  <c r="G16" i="11" l="1"/>
  <c r="H16" i="11" s="1"/>
  <c r="I16" i="11" s="1"/>
  <c r="J16" i="11" s="1"/>
  <c r="K16" i="11" s="1"/>
  <c r="L16" i="11" s="1"/>
  <c r="M16" i="11" s="1"/>
  <c r="N16" i="11" s="1"/>
  <c r="O16" i="11" s="1"/>
  <c r="P16" i="11" s="1"/>
  <c r="Q16" i="11" s="1"/>
  <c r="R16" i="11" s="1"/>
  <c r="S16" i="11" s="1"/>
  <c r="T16" i="11" s="1"/>
  <c r="U16" i="11" s="1"/>
  <c r="V16" i="11" s="1"/>
  <c r="W16" i="11" s="1"/>
  <c r="X16" i="11" s="1"/>
  <c r="Y16" i="11" s="1"/>
  <c r="Z16" i="11" s="1"/>
  <c r="AA16" i="11" s="1"/>
  <c r="AB16" i="11" s="1"/>
  <c r="AC16" i="11" s="1"/>
  <c r="AD16" i="11" s="1"/>
  <c r="AE16" i="11" s="1"/>
  <c r="AF16" i="11" s="1"/>
  <c r="AG16" i="11" s="1"/>
  <c r="AH16" i="11" s="1"/>
  <c r="AI16" i="11" s="1"/>
  <c r="AJ16" i="11" s="1"/>
  <c r="D7" i="9"/>
  <c r="H15" i="11"/>
  <c r="I15" i="11" s="1"/>
  <c r="G17" i="11" l="1"/>
  <c r="C7" i="10" s="1"/>
  <c r="H17" i="11"/>
  <c r="C8" i="10" s="1"/>
  <c r="I17" i="11"/>
  <c r="J15" i="11"/>
  <c r="G18" i="11" l="1"/>
  <c r="H18" i="11"/>
  <c r="K15" i="11"/>
  <c r="J17" i="11"/>
  <c r="I18" i="11"/>
  <c r="C9" i="10"/>
  <c r="H46" i="11" l="1"/>
  <c r="I46" i="11"/>
  <c r="G46" i="11"/>
  <c r="G54" i="7" s="1"/>
  <c r="L15" i="11"/>
  <c r="K17" i="11"/>
  <c r="J18" i="11"/>
  <c r="C10" i="10"/>
  <c r="J46" i="11" l="1"/>
  <c r="M15" i="11"/>
  <c r="L17" i="11"/>
  <c r="K18" i="11"/>
  <c r="C11" i="10"/>
  <c r="K46" i="11" l="1"/>
  <c r="L18" i="11"/>
  <c r="C12" i="10"/>
  <c r="N15" i="11"/>
  <c r="M17" i="11"/>
  <c r="L46" i="11" l="1"/>
  <c r="C13" i="10"/>
  <c r="M18" i="11"/>
  <c r="O15" i="11"/>
  <c r="N17" i="11"/>
  <c r="M46" i="11" l="1"/>
  <c r="C14" i="10"/>
  <c r="N18" i="11"/>
  <c r="O17" i="11"/>
  <c r="P15" i="11"/>
  <c r="N46" i="11" l="1"/>
  <c r="P17" i="11"/>
  <c r="Q15" i="11"/>
  <c r="C15" i="10"/>
  <c r="O18" i="11"/>
  <c r="O46" i="11" l="1"/>
  <c r="P18" i="11"/>
  <c r="C16" i="10"/>
  <c r="Q17" i="11"/>
  <c r="R15" i="11"/>
  <c r="P46" i="11" l="1"/>
  <c r="S15" i="11"/>
  <c r="R17" i="11"/>
  <c r="C17" i="10"/>
  <c r="Q18" i="11"/>
  <c r="Q46" i="11" l="1"/>
  <c r="C18" i="10"/>
  <c r="R18" i="11"/>
  <c r="T15" i="11"/>
  <c r="S17" i="11"/>
  <c r="R46" i="11" l="1"/>
  <c r="U15" i="11"/>
  <c r="T17" i="11"/>
  <c r="C19" i="10"/>
  <c r="S18" i="11"/>
  <c r="S46" i="11" l="1"/>
  <c r="T18" i="11"/>
  <c r="C20" i="10"/>
  <c r="V15" i="11"/>
  <c r="U17" i="11"/>
  <c r="T46" i="11" l="1"/>
  <c r="V17" i="11"/>
  <c r="W15" i="11"/>
  <c r="U18" i="11"/>
  <c r="C21" i="10"/>
  <c r="U46" i="11" l="1"/>
  <c r="V18" i="11"/>
  <c r="C22" i="10"/>
  <c r="W17" i="11"/>
  <c r="X15" i="11"/>
  <c r="V46" i="11" l="1"/>
  <c r="X17" i="11"/>
  <c r="Y15" i="11"/>
  <c r="W18" i="11"/>
  <c r="C23" i="10"/>
  <c r="W46" i="11" l="1"/>
  <c r="X18" i="11"/>
  <c r="C24" i="10"/>
  <c r="Y17" i="11"/>
  <c r="Z15" i="11"/>
  <c r="X46" i="11" l="1"/>
  <c r="Y18" i="11"/>
  <c r="C25" i="10"/>
  <c r="AA15" i="11"/>
  <c r="Z17" i="11"/>
  <c r="Y46" i="11" l="1"/>
  <c r="AA17" i="11"/>
  <c r="AB15" i="11"/>
  <c r="Z18" i="11"/>
  <c r="C26" i="10"/>
  <c r="Z46" i="11" l="1"/>
  <c r="AC15" i="11"/>
  <c r="AB17" i="11"/>
  <c r="C27" i="10"/>
  <c r="AA18" i="11"/>
  <c r="AA46" i="11" l="1"/>
  <c r="AB18" i="11"/>
  <c r="C28" i="10"/>
  <c r="AC17" i="11"/>
  <c r="AD15" i="11"/>
  <c r="AB46" i="11" l="1"/>
  <c r="AC18" i="11"/>
  <c r="C29" i="10"/>
  <c r="AE15" i="11"/>
  <c r="AD17" i="11"/>
  <c r="AC46" i="11" l="1"/>
  <c r="AE17" i="11"/>
  <c r="AE18" i="11" s="1"/>
  <c r="AF15" i="11"/>
  <c r="C31" i="10"/>
  <c r="AD18" i="11"/>
  <c r="C30" i="10"/>
  <c r="AE46" i="11" l="1"/>
  <c r="AD46" i="11"/>
  <c r="AF17" i="11"/>
  <c r="AG15" i="11"/>
  <c r="AH15" i="11" l="1"/>
  <c r="AG17" i="11"/>
  <c r="AF18" i="11"/>
  <c r="C32" i="10"/>
  <c r="AD212" i="11"/>
  <c r="AD221" i="11" s="1"/>
  <c r="AD59" i="11" s="1"/>
  <c r="G30" i="10" s="1"/>
  <c r="AF46" i="11" l="1"/>
  <c r="C33" i="10"/>
  <c r="AG18" i="11"/>
  <c r="AI15" i="11"/>
  <c r="AH17" i="11"/>
  <c r="AF98" i="11"/>
  <c r="AE98" i="11"/>
  <c r="AD98" i="11"/>
  <c r="AB99" i="11"/>
  <c r="AF99" i="11"/>
  <c r="AC98" i="11"/>
  <c r="AA99" i="11"/>
  <c r="AE99" i="11"/>
  <c r="AB98" i="11"/>
  <c r="AD99" i="11"/>
  <c r="AA98" i="11"/>
  <c r="AC99" i="11"/>
  <c r="AG46" i="11" l="1"/>
  <c r="AJ15" i="11"/>
  <c r="AJ17" i="11" s="1"/>
  <c r="AI17" i="11"/>
  <c r="C34" i="10"/>
  <c r="AH18" i="11"/>
  <c r="AA55" i="11"/>
  <c r="AA97" i="11"/>
  <c r="F27" i="10" s="1"/>
  <c r="AB97" i="11"/>
  <c r="F28" i="10" s="1"/>
  <c r="AB55" i="11"/>
  <c r="AA104" i="11"/>
  <c r="AA58" i="11"/>
  <c r="AF58" i="11"/>
  <c r="AF104" i="11"/>
  <c r="AD97" i="11"/>
  <c r="F30" i="10" s="1"/>
  <c r="AD55" i="11"/>
  <c r="AF97" i="11"/>
  <c r="F32" i="10" s="1"/>
  <c r="AF55" i="11"/>
  <c r="AC104" i="11"/>
  <c r="AC58" i="11"/>
  <c r="AD58" i="11"/>
  <c r="AD104" i="11"/>
  <c r="AE104" i="11"/>
  <c r="AE58" i="11"/>
  <c r="AC55" i="11"/>
  <c r="AC97" i="11"/>
  <c r="F29" i="10" s="1"/>
  <c r="AB104" i="11"/>
  <c r="AB58" i="11"/>
  <c r="AE97" i="11"/>
  <c r="F31" i="10" s="1"/>
  <c r="AE55" i="11"/>
  <c r="AH46" i="11" l="1"/>
  <c r="D14" i="9"/>
  <c r="C36" i="10"/>
  <c r="AJ18" i="11"/>
  <c r="C35" i="10"/>
  <c r="AI18" i="11"/>
  <c r="H211" i="11"/>
  <c r="H221" i="11" s="1"/>
  <c r="H59" i="11" s="1"/>
  <c r="G8" i="10" s="1"/>
  <c r="AG211" i="11"/>
  <c r="AG221" i="11" s="1"/>
  <c r="AG59" i="11" s="1"/>
  <c r="AF211" i="11"/>
  <c r="AF221" i="11" s="1"/>
  <c r="AF59" i="11" s="1"/>
  <c r="G32" i="10" s="1"/>
  <c r="G33" i="10"/>
  <c r="AI46" i="11" l="1"/>
  <c r="AJ46" i="11"/>
  <c r="P27" i="10"/>
  <c r="P32" i="10" l="1"/>
  <c r="P28" i="10"/>
  <c r="P29" i="10" l="1"/>
  <c r="P30" i="10" l="1"/>
  <c r="P31" i="10" l="1"/>
  <c r="G211" i="11" l="1"/>
  <c r="AE212" i="11" l="1"/>
  <c r="AE221" i="11" s="1"/>
  <c r="AE59" i="11" s="1"/>
  <c r="G31" i="10" s="1"/>
  <c r="V98" i="11" l="1"/>
  <c r="V55" i="11" s="1"/>
  <c r="V99" i="11"/>
  <c r="V104" i="11" s="1"/>
  <c r="X98" i="11"/>
  <c r="X55" i="11" s="1"/>
  <c r="Y99" i="11"/>
  <c r="Y104" i="11" s="1"/>
  <c r="W99" i="11"/>
  <c r="W104" i="11" s="1"/>
  <c r="W98" i="11"/>
  <c r="Z99" i="11"/>
  <c r="X99" i="11"/>
  <c r="Y98" i="11"/>
  <c r="V97" i="11" l="1"/>
  <c r="F22" i="10" s="1"/>
  <c r="V58" i="11"/>
  <c r="Y58" i="11"/>
  <c r="W58" i="11"/>
  <c r="X58" i="11"/>
  <c r="X104" i="11"/>
  <c r="X97" i="11"/>
  <c r="F24" i="10" s="1"/>
  <c r="Z104" i="11"/>
  <c r="Z58" i="11"/>
  <c r="Y55" i="11"/>
  <c r="Y97" i="11"/>
  <c r="F25" i="10" s="1"/>
  <c r="W55" i="11"/>
  <c r="W97" i="11"/>
  <c r="F23" i="10" s="1"/>
  <c r="AD201" i="11" l="1"/>
  <c r="AH201" i="11"/>
  <c r="AC201" i="11"/>
  <c r="AG201" i="11"/>
  <c r="AB201" i="11"/>
  <c r="AF201" i="11"/>
  <c r="AE201" i="11"/>
  <c r="AI201" i="11"/>
  <c r="AJ201" i="11"/>
  <c r="Y211" i="11"/>
  <c r="Y221" i="11" s="1"/>
  <c r="Y59" i="11" s="1"/>
  <c r="G25" i="10" s="1"/>
  <c r="AA211" i="11"/>
  <c r="AA221" i="11" s="1"/>
  <c r="AA59" i="11" s="1"/>
  <c r="G27" i="10" s="1"/>
  <c r="AJ191" i="11" l="1"/>
  <c r="AJ190" i="11"/>
  <c r="AI191" i="11"/>
  <c r="AI190" i="11"/>
  <c r="AF191" i="11"/>
  <c r="AF190" i="11"/>
  <c r="AB191" i="11"/>
  <c r="AB190" i="11"/>
  <c r="AG191" i="11"/>
  <c r="AG190" i="11"/>
  <c r="AC191" i="11"/>
  <c r="AC190" i="11"/>
  <c r="AH190" i="11"/>
  <c r="AH191" i="11"/>
  <c r="AD191" i="11"/>
  <c r="AD190" i="11"/>
  <c r="AE191" i="11"/>
  <c r="AE190" i="11"/>
  <c r="AJ204" i="11"/>
  <c r="AJ205" i="11"/>
  <c r="AJ78" i="11" s="1"/>
  <c r="AI205" i="11"/>
  <c r="AI78" i="11" s="1"/>
  <c r="AI204" i="11"/>
  <c r="AE205" i="11"/>
  <c r="AE78" i="11" s="1"/>
  <c r="AE204" i="11"/>
  <c r="AF205" i="11"/>
  <c r="AF78" i="11" s="1"/>
  <c r="AF204" i="11"/>
  <c r="AB205" i="11"/>
  <c r="AB78" i="11" s="1"/>
  <c r="AB204" i="11"/>
  <c r="AG204" i="11"/>
  <c r="AG205" i="11"/>
  <c r="AG78" i="11" s="1"/>
  <c r="AC205" i="11"/>
  <c r="AC78" i="11" s="1"/>
  <c r="AC204" i="11"/>
  <c r="AH205" i="11"/>
  <c r="AH78" i="11" s="1"/>
  <c r="AH204" i="11"/>
  <c r="AD204" i="11"/>
  <c r="AD205" i="11"/>
  <c r="AD78" i="11" s="1"/>
  <c r="P22" i="10" l="1"/>
  <c r="P23" i="10" l="1"/>
  <c r="P24" i="10" l="1"/>
  <c r="P26" i="10" l="1"/>
  <c r="P25" i="10"/>
  <c r="Z98" i="11"/>
  <c r="Z55" i="11" s="1"/>
  <c r="Z97" i="11" l="1"/>
  <c r="F26" i="10" s="1"/>
  <c r="I195" i="11" l="1"/>
  <c r="I198" i="11" s="1"/>
  <c r="K195" i="11"/>
  <c r="K198" i="11" s="1"/>
  <c r="H195" i="11"/>
  <c r="H198" i="11" s="1"/>
  <c r="J195" i="11"/>
  <c r="J198" i="11" s="1"/>
  <c r="G201" i="11" l="1"/>
  <c r="G187" i="11" l="1"/>
  <c r="G204" i="11"/>
  <c r="G205" i="11"/>
  <c r="H201" i="11"/>
  <c r="H187" i="11" l="1"/>
  <c r="G190" i="11"/>
  <c r="G191" i="11" s="1"/>
  <c r="H204" i="11"/>
  <c r="H205" i="11"/>
  <c r="H78" i="11" s="1"/>
  <c r="I201" i="11"/>
  <c r="G206" i="11"/>
  <c r="H203" i="11" s="1"/>
  <c r="I187" i="11" l="1"/>
  <c r="G192" i="11"/>
  <c r="H189" i="11" s="1"/>
  <c r="H190" i="11"/>
  <c r="H191" i="11"/>
  <c r="H206" i="11"/>
  <c r="I203" i="11" s="1"/>
  <c r="I204" i="11"/>
  <c r="I205" i="11"/>
  <c r="I78" i="11" s="1"/>
  <c r="H192" i="11" l="1"/>
  <c r="I189" i="11" s="1"/>
  <c r="I190" i="11"/>
  <c r="I191" i="11"/>
  <c r="J201" i="11"/>
  <c r="I206" i="11"/>
  <c r="J203" i="11" s="1"/>
  <c r="I192" i="11" l="1"/>
  <c r="J189" i="11" s="1"/>
  <c r="J190" i="11"/>
  <c r="J191" i="11"/>
  <c r="J204" i="11"/>
  <c r="J205" i="11"/>
  <c r="J78" i="11" s="1"/>
  <c r="K201" i="11"/>
  <c r="K190" i="11" l="1"/>
  <c r="K191" i="11"/>
  <c r="J192" i="11"/>
  <c r="K189" i="11" s="1"/>
  <c r="J206" i="11"/>
  <c r="K203" i="11" s="1"/>
  <c r="K204" i="11"/>
  <c r="K205" i="11"/>
  <c r="K78" i="11" s="1"/>
  <c r="K192" i="11" l="1"/>
  <c r="L189" i="11" s="1"/>
  <c r="K206" i="11"/>
  <c r="L203" i="11" s="1"/>
  <c r="K187" i="11" l="1"/>
  <c r="L201" i="11"/>
  <c r="L190" i="11" l="1"/>
  <c r="L191" i="11"/>
  <c r="L205" i="11"/>
  <c r="L78" i="11" s="1"/>
  <c r="L204" i="11"/>
  <c r="M201" i="11"/>
  <c r="M190" i="11" l="1"/>
  <c r="M191" i="11"/>
  <c r="L192" i="11"/>
  <c r="M189" i="11" s="1"/>
  <c r="L206" i="11"/>
  <c r="M203" i="11" s="1"/>
  <c r="M205" i="11"/>
  <c r="M78" i="11" s="1"/>
  <c r="M204" i="11"/>
  <c r="M206" i="11" l="1"/>
  <c r="N203" i="11" s="1"/>
  <c r="M192" i="11"/>
  <c r="N189" i="11" s="1"/>
  <c r="N201" i="11"/>
  <c r="N191" i="11" l="1"/>
  <c r="N190" i="11"/>
  <c r="N205" i="11"/>
  <c r="N78" i="11" s="1"/>
  <c r="N204" i="11"/>
  <c r="N192" i="11" l="1"/>
  <c r="O189" i="11" s="1"/>
  <c r="N206" i="11"/>
  <c r="O203" i="11" s="1"/>
  <c r="O201" i="11"/>
  <c r="O190" i="11" l="1"/>
  <c r="O191" i="11"/>
  <c r="O204" i="11"/>
  <c r="O205" i="11"/>
  <c r="O78" i="11" s="1"/>
  <c r="O192" i="11" l="1"/>
  <c r="P189" i="11" s="1"/>
  <c r="O206" i="11"/>
  <c r="P203" i="11" s="1"/>
  <c r="P201" i="11"/>
  <c r="P190" i="11" l="1"/>
  <c r="P191" i="11"/>
  <c r="P204" i="11"/>
  <c r="P205" i="11"/>
  <c r="P78" i="11" s="1"/>
  <c r="P192" i="11" l="1"/>
  <c r="Q189" i="11" s="1"/>
  <c r="P206" i="11"/>
  <c r="Q203" i="11" s="1"/>
  <c r="Q201" i="11"/>
  <c r="Q191" i="11" l="1"/>
  <c r="Q190" i="11"/>
  <c r="Q204" i="11"/>
  <c r="Q205" i="11"/>
  <c r="Q78" i="11" s="1"/>
  <c r="R201" i="11"/>
  <c r="R190" i="11" l="1"/>
  <c r="R191" i="11"/>
  <c r="Q192" i="11"/>
  <c r="R189" i="11" s="1"/>
  <c r="R204" i="11"/>
  <c r="R205" i="11"/>
  <c r="R78" i="11" s="1"/>
  <c r="Q206" i="11"/>
  <c r="R203" i="11" s="1"/>
  <c r="R192" i="11" l="1"/>
  <c r="S189" i="11" s="1"/>
  <c r="R206" i="11"/>
  <c r="S203" i="11" s="1"/>
  <c r="S201" i="11" l="1"/>
  <c r="S190" i="11" l="1"/>
  <c r="S191" i="11"/>
  <c r="T201" i="11"/>
  <c r="S204" i="11"/>
  <c r="S205" i="11"/>
  <c r="S78" i="11" s="1"/>
  <c r="T190" i="11" l="1"/>
  <c r="S192" i="11"/>
  <c r="T189" i="11" s="1"/>
  <c r="S206" i="11"/>
  <c r="T203" i="11" s="1"/>
  <c r="U201" i="11"/>
  <c r="T204" i="11"/>
  <c r="T205" i="11"/>
  <c r="T78" i="11" s="1"/>
  <c r="T191" i="11" l="1"/>
  <c r="U190" i="11"/>
  <c r="T206" i="11"/>
  <c r="U203" i="11" s="1"/>
  <c r="U205" i="11"/>
  <c r="U78" i="11" s="1"/>
  <c r="U204" i="11"/>
  <c r="U206" i="11" l="1"/>
  <c r="V203" i="11" s="1"/>
  <c r="T192" i="11"/>
  <c r="V201" i="11"/>
  <c r="V190" i="11" l="1"/>
  <c r="U189" i="11"/>
  <c r="U191" i="11"/>
  <c r="W201" i="11"/>
  <c r="V204" i="11"/>
  <c r="V205" i="11"/>
  <c r="V78" i="11" s="1"/>
  <c r="U192" i="11" l="1"/>
  <c r="W190" i="11"/>
  <c r="V206" i="11"/>
  <c r="W203" i="11" s="1"/>
  <c r="W204" i="11"/>
  <c r="V189" i="11" l="1"/>
  <c r="V191" i="11"/>
  <c r="W205" i="11"/>
  <c r="W78" i="11" s="1"/>
  <c r="W206" i="11" l="1"/>
  <c r="X203" i="11" s="1"/>
  <c r="V192" i="11"/>
  <c r="X201" i="11"/>
  <c r="W189" i="11" l="1"/>
  <c r="W191" i="11"/>
  <c r="X190" i="11"/>
  <c r="Y201" i="11"/>
  <c r="X204" i="11"/>
  <c r="X205" i="11"/>
  <c r="X78" i="11" s="1"/>
  <c r="Y190" i="11" l="1"/>
  <c r="W192" i="11"/>
  <c r="Y204" i="11"/>
  <c r="Z201" i="11"/>
  <c r="X206" i="11"/>
  <c r="Y203" i="11" s="1"/>
  <c r="Z190" i="11" l="1"/>
  <c r="X189" i="11"/>
  <c r="X191" i="11"/>
  <c r="AA201" i="11"/>
  <c r="Z204" i="11"/>
  <c r="Y205" i="11"/>
  <c r="Y78" i="11" s="1"/>
  <c r="X192" i="11" l="1"/>
  <c r="AA190" i="11"/>
  <c r="Y206" i="11"/>
  <c r="Z203" i="11" s="1"/>
  <c r="AA204" i="11"/>
  <c r="AA205" i="11"/>
  <c r="AA78" i="11" s="1"/>
  <c r="Y189" i="11" l="1"/>
  <c r="Y191" i="11"/>
  <c r="Z205" i="11"/>
  <c r="Z78" i="11" s="1"/>
  <c r="Y192" i="11" l="1"/>
  <c r="Z206" i="11"/>
  <c r="AA203" i="11" s="1"/>
  <c r="AA206" i="11" s="1"/>
  <c r="AB203" i="11" s="1"/>
  <c r="AB206" i="11" s="1"/>
  <c r="AC203" i="11" s="1"/>
  <c r="AC206" i="11" s="1"/>
  <c r="AD203" i="11" s="1"/>
  <c r="AD206" i="11" s="1"/>
  <c r="AE203" i="11" s="1"/>
  <c r="AE206" i="11" s="1"/>
  <c r="AF203" i="11" s="1"/>
  <c r="AF206" i="11" s="1"/>
  <c r="AG203" i="11" s="1"/>
  <c r="AG206" i="11" s="1"/>
  <c r="AH203" i="11" s="1"/>
  <c r="AH206" i="11" s="1"/>
  <c r="AI203" i="11" s="1"/>
  <c r="AI206" i="11" s="1"/>
  <c r="AJ203" i="11" s="1"/>
  <c r="AJ206" i="11" s="1"/>
  <c r="Z189" i="11" l="1"/>
  <c r="Z191" i="11"/>
  <c r="Z192" i="11" l="1"/>
  <c r="AA189" i="11" l="1"/>
  <c r="AA191" i="11"/>
  <c r="AA192" i="11" l="1"/>
  <c r="AB189" i="11" s="1"/>
  <c r="AB192" i="11" s="1"/>
  <c r="AC189" i="11" s="1"/>
  <c r="AC192" i="11" s="1"/>
  <c r="AD189" i="11" s="1"/>
  <c r="AD192" i="11" s="1"/>
  <c r="AE189" i="11" s="1"/>
  <c r="AE192" i="11" s="1"/>
  <c r="AF189" i="11" s="1"/>
  <c r="AF192" i="11" s="1"/>
  <c r="AG189" i="11" s="1"/>
  <c r="AG192" i="11" s="1"/>
  <c r="AH189" i="11" s="1"/>
  <c r="AH192" i="11" s="1"/>
  <c r="AI189" i="11" s="1"/>
  <c r="AI192" i="11" s="1"/>
  <c r="AJ189" i="11" s="1"/>
  <c r="AJ192" i="11" s="1"/>
  <c r="Z187" i="11"/>
  <c r="Y187" i="11"/>
  <c r="X187" i="11"/>
  <c r="AA187" i="11"/>
  <c r="W187" i="11"/>
  <c r="V187" i="11"/>
  <c r="U187" i="11"/>
  <c r="T187" i="11"/>
  <c r="S187" i="11"/>
  <c r="R187" i="11"/>
  <c r="Q187" i="11"/>
  <c r="P187" i="11"/>
  <c r="O187" i="11"/>
  <c r="N187" i="11"/>
  <c r="L187" i="11"/>
  <c r="M187" i="11"/>
  <c r="J187" i="11"/>
  <c r="AI39" i="11" l="1"/>
  <c r="AI47" i="11" s="1"/>
  <c r="AH39" i="11"/>
  <c r="AH47" i="11" s="1"/>
  <c r="AG39" i="11"/>
  <c r="AG47" i="11" s="1"/>
  <c r="AE39" i="11"/>
  <c r="AE47" i="11" s="1"/>
  <c r="AC39" i="11"/>
  <c r="AC47" i="11" s="1"/>
  <c r="AF39" i="11"/>
  <c r="AF47" i="11" s="1"/>
  <c r="AJ39" i="11"/>
  <c r="AJ47" i="11" s="1"/>
  <c r="AD39" i="11"/>
  <c r="AD47" i="11" s="1"/>
  <c r="AB39" i="11"/>
  <c r="AB47" i="11" s="1"/>
  <c r="AA39" i="11"/>
  <c r="AA47" i="11" s="1"/>
  <c r="AA48" i="11" l="1"/>
  <c r="AA49" i="11"/>
  <c r="E27" i="10"/>
  <c r="S27" i="10" s="1"/>
  <c r="E30" i="10"/>
  <c r="S30" i="10" s="1"/>
  <c r="AD49" i="11"/>
  <c r="AD48" i="11"/>
  <c r="AF49" i="11"/>
  <c r="AF48" i="11"/>
  <c r="E32" i="10"/>
  <c r="S32" i="10" s="1"/>
  <c r="AE48" i="11"/>
  <c r="AE49" i="11"/>
  <c r="E31" i="10"/>
  <c r="S31" i="10" s="1"/>
  <c r="AH48" i="11"/>
  <c r="AH49" i="11"/>
  <c r="E34" i="10"/>
  <c r="S34" i="10" s="1"/>
  <c r="E28" i="10"/>
  <c r="S28" i="10" s="1"/>
  <c r="AB48" i="11"/>
  <c r="AB49" i="11"/>
  <c r="AJ49" i="11"/>
  <c r="AJ48" i="11"/>
  <c r="E36" i="10"/>
  <c r="AC48" i="11"/>
  <c r="AC49" i="11"/>
  <c r="E29" i="10"/>
  <c r="S29" i="10" s="1"/>
  <c r="AG48" i="11"/>
  <c r="AG49" i="11"/>
  <c r="E33" i="10"/>
  <c r="S33" i="10" s="1"/>
  <c r="E35" i="10"/>
  <c r="S35" i="10" s="1"/>
  <c r="AI48" i="11"/>
  <c r="AI49" i="11"/>
  <c r="G36" i="10" l="1"/>
  <c r="S36" i="10" s="1"/>
  <c r="G212" i="11"/>
  <c r="G221" i="11" s="1"/>
  <c r="G59" i="11" s="1"/>
  <c r="G7" i="10" s="1"/>
  <c r="AC154" i="11" l="1"/>
  <c r="AC69" i="11" s="1"/>
  <c r="AC156" i="11" l="1"/>
  <c r="AA218" i="11" l="1"/>
  <c r="AB210" i="11" s="1"/>
  <c r="AB218" i="11" l="1"/>
  <c r="AC210" i="11" s="1"/>
  <c r="D27" i="10" l="1"/>
  <c r="AB220" i="11"/>
  <c r="AB25" i="11" s="1"/>
  <c r="AB29" i="11" s="1"/>
  <c r="AC218" i="11"/>
  <c r="AD210" i="11" s="1"/>
  <c r="D28" i="10" l="1"/>
  <c r="AB51" i="11"/>
  <c r="AB56" i="11" s="1"/>
  <c r="AC220" i="11"/>
  <c r="AC25" i="11" s="1"/>
  <c r="AC29" i="11" s="1"/>
  <c r="AD218" i="11"/>
  <c r="AE210" i="11" s="1"/>
  <c r="H27" i="10"/>
  <c r="D29" i="10" l="1"/>
  <c r="AC51" i="11"/>
  <c r="AC56" i="11" s="1"/>
  <c r="H28" i="10"/>
  <c r="AD220" i="11"/>
  <c r="AD25" i="11" s="1"/>
  <c r="AD29" i="11" s="1"/>
  <c r="AE218" i="11"/>
  <c r="AF210" i="11" s="1"/>
  <c r="AB61" i="11"/>
  <c r="AB65" i="11" s="1"/>
  <c r="AB66" i="11" s="1"/>
  <c r="J27" i="10" l="1"/>
  <c r="I27" i="10"/>
  <c r="AF218" i="11"/>
  <c r="AG210" i="11" s="1"/>
  <c r="H29" i="10"/>
  <c r="AD51" i="11"/>
  <c r="AD56" i="11" s="1"/>
  <c r="D30" i="10"/>
  <c r="AC61" i="11"/>
  <c r="AC65" i="11" s="1"/>
  <c r="AC66" i="11" s="1"/>
  <c r="AC70" i="11"/>
  <c r="AC161" i="11" s="1"/>
  <c r="AE220" i="11"/>
  <c r="AE25" i="11" s="1"/>
  <c r="AE29" i="11" s="1"/>
  <c r="AD61" i="11" l="1"/>
  <c r="AD65" i="11" s="1"/>
  <c r="AD66" i="11" s="1"/>
  <c r="AE51" i="11"/>
  <c r="AE56" i="11" s="1"/>
  <c r="D31" i="10"/>
  <c r="AC173" i="11"/>
  <c r="AC165" i="11"/>
  <c r="H30" i="10"/>
  <c r="AF220" i="11"/>
  <c r="AF25" i="11" s="1"/>
  <c r="AF29" i="11" s="1"/>
  <c r="AG218" i="11"/>
  <c r="AH210" i="11" s="1"/>
  <c r="H31" i="10" l="1"/>
  <c r="AH218" i="11"/>
  <c r="AI210" i="11" s="1"/>
  <c r="K27" i="10"/>
  <c r="AF51" i="11"/>
  <c r="AF56" i="11" s="1"/>
  <c r="D32" i="10"/>
  <c r="AE61" i="11"/>
  <c r="AE65" i="11" s="1"/>
  <c r="AE66" i="11" s="1"/>
  <c r="AG220" i="11"/>
  <c r="AG25" i="11" s="1"/>
  <c r="AG29" i="11" s="1"/>
  <c r="AG51" i="11" l="1"/>
  <c r="AG56" i="11" s="1"/>
  <c r="D33" i="10"/>
  <c r="H33" i="10" s="1"/>
  <c r="H32" i="10"/>
  <c r="R27" i="10"/>
  <c r="M27" i="10"/>
  <c r="AH220" i="11"/>
  <c r="AH25" i="11" s="1"/>
  <c r="AH29" i="11" s="1"/>
  <c r="AF61" i="11"/>
  <c r="AF65" i="11" s="1"/>
  <c r="AF66" i="11" s="1"/>
  <c r="AI218" i="11"/>
  <c r="AJ210" i="11" s="1"/>
  <c r="AJ218" i="11" s="1"/>
  <c r="AJ220" i="11" s="1"/>
  <c r="AJ25" i="11" s="1"/>
  <c r="AJ29" i="11" s="1"/>
  <c r="AJ51" i="11" l="1"/>
  <c r="AJ56" i="11" s="1"/>
  <c r="D36" i="10"/>
  <c r="AG61" i="11"/>
  <c r="AG65" i="11" s="1"/>
  <c r="AG66" i="11" s="1"/>
  <c r="AI220" i="11"/>
  <c r="AI25" i="11" s="1"/>
  <c r="AI29" i="11" s="1"/>
  <c r="D34" i="10"/>
  <c r="AH51" i="11"/>
  <c r="AH56" i="11" s="1"/>
  <c r="AH61" i="11" l="1"/>
  <c r="AH65" i="11" s="1"/>
  <c r="AH66" i="11" s="1"/>
  <c r="AI51" i="11"/>
  <c r="AI56" i="11" s="1"/>
  <c r="D35" i="10"/>
  <c r="H36" i="10"/>
  <c r="H34" i="10"/>
  <c r="AI61" i="11" l="1"/>
  <c r="AI65" i="11" s="1"/>
  <c r="AI66" i="11" s="1"/>
  <c r="H35" i="10"/>
  <c r="I28" i="10" l="1"/>
  <c r="J28" i="10"/>
  <c r="AC174" i="11" l="1"/>
  <c r="AC166" i="11"/>
  <c r="AC169" i="11" s="1"/>
  <c r="AC72" i="11" s="1"/>
  <c r="AB187" i="11"/>
  <c r="K28" i="10"/>
  <c r="AC177" i="11" l="1"/>
  <c r="AC73" i="11" s="1"/>
  <c r="R28" i="10"/>
  <c r="M28" i="10"/>
  <c r="I29" i="10"/>
  <c r="AC76" i="11" l="1"/>
  <c r="J29" i="10"/>
  <c r="L29" i="10" l="1"/>
  <c r="AC75" i="11"/>
  <c r="I30" i="10"/>
  <c r="J30" i="10"/>
  <c r="AD187" i="11" l="1"/>
  <c r="K30" i="10"/>
  <c r="AC187" i="11"/>
  <c r="K29" i="10"/>
  <c r="AC79" i="11"/>
  <c r="R29" i="10" l="1"/>
  <c r="M29" i="10"/>
  <c r="R30" i="10"/>
  <c r="M30" i="10"/>
  <c r="I31" i="10"/>
  <c r="J31" i="10" l="1"/>
  <c r="I32" i="10" l="1"/>
  <c r="L31" i="10"/>
  <c r="J32" i="10"/>
  <c r="AE187" i="11" l="1"/>
  <c r="K31" i="10"/>
  <c r="AF187" i="11"/>
  <c r="K32" i="10"/>
  <c r="I33" i="10" l="1"/>
  <c r="R31" i="10"/>
  <c r="M31" i="10"/>
  <c r="R32" i="10"/>
  <c r="M32" i="10"/>
  <c r="J33" i="10" l="1"/>
  <c r="J34" i="10" l="1"/>
  <c r="L33" i="10"/>
  <c r="I34" i="10"/>
  <c r="AG187" i="11" l="1"/>
  <c r="K33" i="10"/>
  <c r="AH187" i="11"/>
  <c r="K34" i="10"/>
  <c r="R34" i="10" l="1"/>
  <c r="M34" i="10"/>
  <c r="I35" i="10"/>
  <c r="R33" i="10"/>
  <c r="M33" i="10"/>
  <c r="J35" i="10" l="1"/>
  <c r="J36" i="10" l="1"/>
  <c r="L35" i="10"/>
  <c r="I36" i="10"/>
  <c r="AI187" i="11" l="1"/>
  <c r="K35" i="10"/>
  <c r="AJ187" i="11"/>
  <c r="K36" i="10"/>
  <c r="R35" i="10" l="1"/>
  <c r="M35" i="10"/>
  <c r="R36" i="10"/>
  <c r="M36" i="10"/>
  <c r="AI154" i="11" l="1"/>
  <c r="AI69" i="11" s="1"/>
  <c r="AI70" i="11" s="1"/>
  <c r="AJ212" i="11"/>
  <c r="AJ221" i="11" s="1"/>
  <c r="AJ59" i="11" s="1"/>
  <c r="AJ61" i="11" s="1"/>
  <c r="AJ65" i="11" s="1"/>
  <c r="AJ66" i="11" s="1"/>
  <c r="AJ154" i="11"/>
  <c r="AJ69" i="11" s="1"/>
  <c r="AJ70" i="11" s="1"/>
  <c r="L36" i="10"/>
  <c r="AG154" i="11"/>
  <c r="AG69" i="11" s="1"/>
  <c r="AG70" i="11" s="1"/>
  <c r="AH154" i="11"/>
  <c r="AH69" i="11" s="1"/>
  <c r="AH70" i="11" s="1"/>
  <c r="L34" i="10"/>
  <c r="AE154" i="11"/>
  <c r="AE69" i="11" s="1"/>
  <c r="AE70" i="11" s="1"/>
  <c r="AF154" i="11"/>
  <c r="AF69" i="11" s="1"/>
  <c r="AF70" i="11" s="1"/>
  <c r="L32" i="10"/>
  <c r="AD154" i="11"/>
  <c r="AD69" i="11" s="1"/>
  <c r="AD70" i="11" s="1"/>
  <c r="L30" i="10"/>
  <c r="AB154" i="11"/>
  <c r="AB69" i="11" s="1"/>
  <c r="AB70" i="11" s="1"/>
  <c r="L28" i="10"/>
  <c r="AA154" i="11"/>
  <c r="AA69" i="11" s="1"/>
  <c r="L27" i="10"/>
  <c r="O36" i="10"/>
  <c r="O35" i="10"/>
  <c r="O33" i="10"/>
  <c r="O34" i="10"/>
  <c r="O32" i="10"/>
  <c r="O31" i="10"/>
  <c r="O29" i="10"/>
  <c r="O30" i="10"/>
  <c r="O28" i="10"/>
  <c r="O27" i="10"/>
  <c r="AA156" i="11" l="1"/>
  <c r="AE156" i="11"/>
  <c r="AH156" i="11"/>
  <c r="AD156" i="11"/>
  <c r="AG156" i="11"/>
  <c r="AJ156" i="11"/>
  <c r="AI156" i="11"/>
  <c r="AF156" i="11"/>
  <c r="AB156" i="11"/>
  <c r="AF73" i="11"/>
  <c r="AF76" i="11" s="1"/>
  <c r="AF72" i="11"/>
  <c r="AF161" i="11"/>
  <c r="AJ72" i="11"/>
  <c r="AJ73" i="11"/>
  <c r="AJ76" i="11" s="1"/>
  <c r="AJ161" i="11"/>
  <c r="AI72" i="11"/>
  <c r="AI73" i="11"/>
  <c r="AI76" i="11" s="1"/>
  <c r="AI161" i="11"/>
  <c r="AB73" i="11"/>
  <c r="AB76" i="11" s="1"/>
  <c r="AB72" i="11"/>
  <c r="AB161" i="11"/>
  <c r="AD72" i="11"/>
  <c r="AD73" i="11"/>
  <c r="AD76" i="11" s="1"/>
  <c r="AD161" i="11"/>
  <c r="AE73" i="11"/>
  <c r="AE76" i="11" s="1"/>
  <c r="AE161" i="11"/>
  <c r="AE72" i="11"/>
  <c r="AH72" i="11"/>
  <c r="AH161" i="11"/>
  <c r="AH73" i="11"/>
  <c r="AH76" i="11" s="1"/>
  <c r="AG72" i="11"/>
  <c r="AG161" i="11"/>
  <c r="AG73" i="11"/>
  <c r="AG76" i="11" s="1"/>
  <c r="AE75" i="11" l="1"/>
  <c r="AE79" i="11" s="1"/>
  <c r="AD75" i="11"/>
  <c r="AD79" i="11" s="1"/>
  <c r="AB75" i="11"/>
  <c r="AB79" i="11" s="1"/>
  <c r="AJ75" i="11"/>
  <c r="AJ79" i="11" s="1"/>
  <c r="AF75" i="11"/>
  <c r="AF79" i="11" s="1"/>
  <c r="AH173" i="11"/>
  <c r="AH166" i="11"/>
  <c r="AH174" i="11"/>
  <c r="AH165" i="11"/>
  <c r="AB166" i="11"/>
  <c r="AB173" i="11"/>
  <c r="AB165" i="11"/>
  <c r="AB174" i="11"/>
  <c r="AI173" i="11"/>
  <c r="AI165" i="11"/>
  <c r="AI174" i="11"/>
  <c r="AI166" i="11"/>
  <c r="AF166" i="11"/>
  <c r="AF173" i="11"/>
  <c r="AF165" i="11"/>
  <c r="AF174" i="11"/>
  <c r="AG75" i="11"/>
  <c r="AG79" i="11" s="1"/>
  <c r="AI75" i="11"/>
  <c r="AI79" i="11" s="1"/>
  <c r="AG174" i="11"/>
  <c r="AG166" i="11"/>
  <c r="AG173" i="11"/>
  <c r="AG165" i="11"/>
  <c r="AE174" i="11"/>
  <c r="AE166" i="11"/>
  <c r="AE173" i="11"/>
  <c r="AE165" i="11"/>
  <c r="AD174" i="11"/>
  <c r="AD165" i="11"/>
  <c r="AD173" i="11"/>
  <c r="AD166" i="11"/>
  <c r="AJ174" i="11"/>
  <c r="AJ165" i="11"/>
  <c r="AJ173" i="11"/>
  <c r="AJ166" i="11"/>
  <c r="AH75" i="11"/>
  <c r="AH79" i="11" s="1"/>
  <c r="AE169" i="11" l="1"/>
  <c r="AB169" i="11"/>
  <c r="AJ177" i="11"/>
  <c r="AG169" i="11"/>
  <c r="AD177" i="11"/>
  <c r="AH177" i="11"/>
  <c r="AF169" i="11"/>
  <c r="AI177" i="11"/>
  <c r="AE177" i="11"/>
  <c r="AG177" i="11"/>
  <c r="AH169" i="11"/>
  <c r="AD169" i="11"/>
  <c r="AI169" i="11"/>
  <c r="AJ169" i="11"/>
  <c r="AB177" i="11"/>
  <c r="AF177" i="11"/>
  <c r="T99" i="11" l="1"/>
  <c r="T58" i="11" s="1"/>
  <c r="U99" i="11"/>
  <c r="U98" i="11"/>
  <c r="T104" i="11" l="1"/>
  <c r="G195" i="11"/>
  <c r="U58" i="11"/>
  <c r="U104" i="11"/>
  <c r="U55" i="11"/>
  <c r="U97" i="11"/>
  <c r="F21" i="10" s="1"/>
  <c r="Q51" i="7" l="1"/>
  <c r="G198" i="11"/>
  <c r="G78" i="11" s="1"/>
  <c r="V211" i="11" l="1"/>
  <c r="V221" i="11" s="1"/>
  <c r="V59" i="11" s="1"/>
  <c r="G22" i="10" s="1"/>
  <c r="T98" i="11" l="1"/>
  <c r="T55" i="11" l="1"/>
  <c r="T97" i="11"/>
  <c r="F20" i="10" s="1"/>
  <c r="T53" i="11" l="1"/>
  <c r="U53" i="11" l="1"/>
  <c r="P21" i="10" s="1"/>
  <c r="P20" i="10"/>
  <c r="G29" i="7" l="1"/>
  <c r="F92" i="11" s="1"/>
  <c r="F94" i="11" s="1"/>
  <c r="H99" i="11" s="1"/>
  <c r="D121" i="12"/>
  <c r="G28" i="7"/>
  <c r="R99" i="11" l="1"/>
  <c r="R58" i="11" s="1"/>
  <c r="D29" i="9"/>
  <c r="D30" i="9" s="1"/>
  <c r="O182" i="11"/>
  <c r="O184" i="11" s="1"/>
  <c r="O77" i="11" s="1"/>
  <c r="G78" i="7"/>
  <c r="P182" i="11"/>
  <c r="P184" i="11" s="1"/>
  <c r="P77" i="11" s="1"/>
  <c r="N182" i="11"/>
  <c r="N184" i="11" s="1"/>
  <c r="N77" i="11" s="1"/>
  <c r="G30" i="7"/>
  <c r="F103" i="11"/>
  <c r="F105" i="11" s="1"/>
  <c r="G102" i="11" s="1"/>
  <c r="S99" i="11"/>
  <c r="S58" i="11" s="1"/>
  <c r="Q99" i="11"/>
  <c r="P99" i="11"/>
  <c r="O99" i="11"/>
  <c r="M182" i="11"/>
  <c r="M184" i="11" s="1"/>
  <c r="M77" i="11" s="1"/>
  <c r="N99" i="11"/>
  <c r="L182" i="11"/>
  <c r="L184" i="11" s="1"/>
  <c r="L77" i="11" s="1"/>
  <c r="M99" i="11"/>
  <c r="K182" i="11"/>
  <c r="K184" i="11" s="1"/>
  <c r="K77" i="11" s="1"/>
  <c r="L99" i="11"/>
  <c r="J182" i="11"/>
  <c r="J184" i="11" s="1"/>
  <c r="J77" i="11" s="1"/>
  <c r="I182" i="11"/>
  <c r="I184" i="11" s="1"/>
  <c r="I77" i="11" s="1"/>
  <c r="K99" i="11"/>
  <c r="J99" i="11"/>
  <c r="H182" i="11"/>
  <c r="H184" i="11" s="1"/>
  <c r="H77" i="11" s="1"/>
  <c r="G182" i="11"/>
  <c r="C118" i="11"/>
  <c r="C114" i="11"/>
  <c r="H58" i="11"/>
  <c r="H104" i="11"/>
  <c r="I99" i="11"/>
  <c r="F64" i="11"/>
  <c r="C116" i="11"/>
  <c r="C112" i="11"/>
  <c r="C120" i="11"/>
  <c r="C117" i="11"/>
  <c r="C115" i="11"/>
  <c r="C113" i="11"/>
  <c r="C111" i="11"/>
  <c r="Q37" i="7" s="1"/>
  <c r="G40" i="7"/>
  <c r="I39" i="11" s="1"/>
  <c r="I47" i="11" s="1"/>
  <c r="G99" i="11"/>
  <c r="H98" i="11"/>
  <c r="I98" i="11"/>
  <c r="J98" i="11"/>
  <c r="K98" i="11"/>
  <c r="L98" i="11"/>
  <c r="M98" i="11"/>
  <c r="N98" i="11"/>
  <c r="O98" i="11"/>
  <c r="P98" i="11"/>
  <c r="Q98" i="11"/>
  <c r="R98" i="11"/>
  <c r="S98" i="11"/>
  <c r="G98" i="11"/>
  <c r="C124" i="11" l="1"/>
  <c r="G181" i="11"/>
  <c r="G184" i="11" s="1"/>
  <c r="G77" i="11" s="1"/>
  <c r="R104" i="11"/>
  <c r="S104" i="11"/>
  <c r="P58" i="11"/>
  <c r="P104" i="11"/>
  <c r="O58" i="11"/>
  <c r="O104" i="11"/>
  <c r="Q58" i="11"/>
  <c r="Q104" i="11"/>
  <c r="N58" i="11"/>
  <c r="N104" i="11"/>
  <c r="M58" i="11"/>
  <c r="M104" i="11"/>
  <c r="L58" i="11"/>
  <c r="L104" i="11"/>
  <c r="K58" i="11"/>
  <c r="K104" i="11"/>
  <c r="J58" i="11"/>
  <c r="J104" i="11"/>
  <c r="C122" i="11"/>
  <c r="D113" i="11" s="1"/>
  <c r="I58" i="11"/>
  <c r="I104" i="11"/>
  <c r="F66" i="11"/>
  <c r="F79" i="11" s="1"/>
  <c r="M6" i="10" s="1"/>
  <c r="N6" i="10" s="1"/>
  <c r="G79" i="7"/>
  <c r="G39" i="11"/>
  <c r="G47" i="11" s="1"/>
  <c r="H39" i="11"/>
  <c r="H47" i="11" s="1"/>
  <c r="K39" i="11"/>
  <c r="K47" i="11" s="1"/>
  <c r="L39" i="11"/>
  <c r="L47" i="11" s="1"/>
  <c r="O39" i="11"/>
  <c r="O47" i="11" s="1"/>
  <c r="P39" i="11"/>
  <c r="P47" i="11" s="1"/>
  <c r="S39" i="11"/>
  <c r="S47" i="11" s="1"/>
  <c r="T39" i="11"/>
  <c r="T47" i="11" s="1"/>
  <c r="W39" i="11"/>
  <c r="W47" i="11" s="1"/>
  <c r="X39" i="11"/>
  <c r="X47" i="11" s="1"/>
  <c r="J39" i="11"/>
  <c r="J47" i="11" s="1"/>
  <c r="M39" i="11"/>
  <c r="M47" i="11" s="1"/>
  <c r="N39" i="11"/>
  <c r="N47" i="11" s="1"/>
  <c r="Q39" i="11"/>
  <c r="Q47" i="11" s="1"/>
  <c r="R39" i="11"/>
  <c r="R47" i="11" s="1"/>
  <c r="U39" i="11"/>
  <c r="U47" i="11" s="1"/>
  <c r="V39" i="11"/>
  <c r="V47" i="11" s="1"/>
  <c r="Y39" i="11"/>
  <c r="Y47" i="11" s="1"/>
  <c r="Z39" i="11"/>
  <c r="Z47" i="11" s="1"/>
  <c r="C123" i="11"/>
  <c r="I48" i="11"/>
  <c r="E9" i="10"/>
  <c r="I49" i="11"/>
  <c r="Q55" i="11"/>
  <c r="Q97" i="11"/>
  <c r="F17" i="10" s="1"/>
  <c r="M55" i="11"/>
  <c r="M97" i="11"/>
  <c r="F13" i="10" s="1"/>
  <c r="G55" i="11"/>
  <c r="G97" i="11"/>
  <c r="R55" i="11"/>
  <c r="R97" i="11"/>
  <c r="F18" i="10" s="1"/>
  <c r="P55" i="11"/>
  <c r="P97" i="11"/>
  <c r="F16" i="10" s="1"/>
  <c r="N55" i="11"/>
  <c r="N97" i="11"/>
  <c r="F14" i="10" s="1"/>
  <c r="L55" i="11"/>
  <c r="L97" i="11"/>
  <c r="F12" i="10" s="1"/>
  <c r="J55" i="11"/>
  <c r="J97" i="11"/>
  <c r="F10" i="10" s="1"/>
  <c r="H55" i="11"/>
  <c r="H97" i="11"/>
  <c r="F8" i="10" s="1"/>
  <c r="S55" i="11"/>
  <c r="S97" i="11"/>
  <c r="F19" i="10" s="1"/>
  <c r="O55" i="11"/>
  <c r="O97" i="11"/>
  <c r="F15" i="10" s="1"/>
  <c r="K55" i="11"/>
  <c r="K97" i="11"/>
  <c r="F11" i="10" s="1"/>
  <c r="I55" i="11"/>
  <c r="I97" i="11"/>
  <c r="F9" i="10" s="1"/>
  <c r="G58" i="11"/>
  <c r="G104" i="11"/>
  <c r="G105" i="11" s="1"/>
  <c r="H102" i="11" s="1"/>
  <c r="H105" i="11" s="1"/>
  <c r="I102" i="11" s="1"/>
  <c r="I105" i="11" l="1"/>
  <c r="J102" i="11" s="1"/>
  <c r="J105" i="11" s="1"/>
  <c r="K102" i="11" s="1"/>
  <c r="K105" i="11" s="1"/>
  <c r="L102" i="11" s="1"/>
  <c r="L105" i="11" s="1"/>
  <c r="M102" i="11" s="1"/>
  <c r="M105" i="11" s="1"/>
  <c r="N102" i="11" s="1"/>
  <c r="N105" i="11" s="1"/>
  <c r="O102" i="11" s="1"/>
  <c r="O105" i="11" s="1"/>
  <c r="P102" i="11" s="1"/>
  <c r="P105" i="11" s="1"/>
  <c r="Q102" i="11" s="1"/>
  <c r="Q105" i="11" s="1"/>
  <c r="R102" i="11" s="1"/>
  <c r="R105" i="11" s="1"/>
  <c r="S102" i="11" s="1"/>
  <c r="S105" i="11" s="1"/>
  <c r="T102" i="11" s="1"/>
  <c r="T105" i="11" s="1"/>
  <c r="U102" i="11" s="1"/>
  <c r="U105" i="11" s="1"/>
  <c r="V102" i="11" s="1"/>
  <c r="V105" i="11" s="1"/>
  <c r="W102" i="11" s="1"/>
  <c r="W105" i="11" s="1"/>
  <c r="X102" i="11" s="1"/>
  <c r="X105" i="11" s="1"/>
  <c r="Y102" i="11" s="1"/>
  <c r="Y105" i="11" s="1"/>
  <c r="Z102" i="11" s="1"/>
  <c r="Z105" i="11" s="1"/>
  <c r="AA102" i="11" s="1"/>
  <c r="AA105" i="11" s="1"/>
  <c r="AB102" i="11" s="1"/>
  <c r="AB105" i="11" s="1"/>
  <c r="AC102" i="11" s="1"/>
  <c r="AC105" i="11" s="1"/>
  <c r="AD102" i="11" s="1"/>
  <c r="AD105" i="11" s="1"/>
  <c r="AE102" i="11" s="1"/>
  <c r="AE105" i="11" s="1"/>
  <c r="AF102" i="11" s="1"/>
  <c r="AF105" i="11" s="1"/>
  <c r="AG102" i="11" s="1"/>
  <c r="AG105" i="11" s="1"/>
  <c r="AH102" i="11" s="1"/>
  <c r="AH105" i="11" s="1"/>
  <c r="AI102" i="11" s="1"/>
  <c r="AI105" i="11" s="1"/>
  <c r="AJ102" i="11" s="1"/>
  <c r="AJ105" i="11" s="1"/>
  <c r="D117" i="11"/>
  <c r="E117" i="11" s="1"/>
  <c r="AJ134" i="11" s="1"/>
  <c r="D114" i="11"/>
  <c r="E114" i="11" s="1"/>
  <c r="AC131" i="11" s="1"/>
  <c r="D120" i="11"/>
  <c r="E120" i="11" s="1"/>
  <c r="E137" i="11" s="1"/>
  <c r="E113" i="11"/>
  <c r="D116" i="11"/>
  <c r="E116" i="11" s="1"/>
  <c r="D118" i="11"/>
  <c r="E118" i="11" s="1"/>
  <c r="D112" i="11"/>
  <c r="E112" i="11" s="1"/>
  <c r="D115" i="11"/>
  <c r="E115" i="11" s="1"/>
  <c r="D111" i="11"/>
  <c r="E119" i="11"/>
  <c r="G81" i="7"/>
  <c r="F79" i="7" s="1"/>
  <c r="Z48" i="11"/>
  <c r="Z49" i="11"/>
  <c r="E26" i="10"/>
  <c r="V48" i="11"/>
  <c r="E22" i="10"/>
  <c r="S22" i="10" s="1"/>
  <c r="V49" i="11"/>
  <c r="R48" i="11"/>
  <c r="E18" i="10"/>
  <c r="S18" i="10" s="1"/>
  <c r="R49" i="11"/>
  <c r="N48" i="11"/>
  <c r="E14" i="10"/>
  <c r="S14" i="10" s="1"/>
  <c r="N49" i="11"/>
  <c r="J48" i="11"/>
  <c r="E10" i="10"/>
  <c r="S10" i="10" s="1"/>
  <c r="J49" i="11"/>
  <c r="W48" i="11"/>
  <c r="W49" i="11"/>
  <c r="E23" i="10"/>
  <c r="S23" i="10" s="1"/>
  <c r="S48" i="11"/>
  <c r="S49" i="11"/>
  <c r="E19" i="10"/>
  <c r="S19" i="10" s="1"/>
  <c r="O48" i="11"/>
  <c r="O49" i="11"/>
  <c r="E15" i="10"/>
  <c r="S15" i="10" s="1"/>
  <c r="K48" i="11"/>
  <c r="K49" i="11"/>
  <c r="E11" i="10"/>
  <c r="S11" i="10" s="1"/>
  <c r="G48" i="11"/>
  <c r="E7" i="10"/>
  <c r="G49" i="11"/>
  <c r="D40" i="9" s="1"/>
  <c r="Y48" i="11"/>
  <c r="Y49" i="11"/>
  <c r="E25" i="10"/>
  <c r="S25" i="10" s="1"/>
  <c r="U48" i="11"/>
  <c r="U49" i="11"/>
  <c r="E21" i="10"/>
  <c r="S21" i="10" s="1"/>
  <c r="Q48" i="11"/>
  <c r="E17" i="10"/>
  <c r="S17" i="10" s="1"/>
  <c r="Q49" i="11"/>
  <c r="M48" i="11"/>
  <c r="M49" i="11"/>
  <c r="E13" i="10"/>
  <c r="S13" i="10" s="1"/>
  <c r="X48" i="11"/>
  <c r="E24" i="10"/>
  <c r="S24" i="10" s="1"/>
  <c r="X49" i="11"/>
  <c r="T48" i="11"/>
  <c r="E20" i="10"/>
  <c r="T49" i="11"/>
  <c r="P48" i="11"/>
  <c r="E16" i="10"/>
  <c r="S16" i="10" s="1"/>
  <c r="P49" i="11"/>
  <c r="L48" i="11"/>
  <c r="E12" i="10"/>
  <c r="S12" i="10" s="1"/>
  <c r="L49" i="11"/>
  <c r="H48" i="11"/>
  <c r="H49" i="11"/>
  <c r="E8" i="10"/>
  <c r="S8" i="10" s="1"/>
  <c r="Q81" i="7"/>
  <c r="F7" i="10"/>
  <c r="S9" i="10"/>
  <c r="N134" i="11" l="1"/>
  <c r="AD134" i="11"/>
  <c r="T134" i="11"/>
  <c r="U134" i="11"/>
  <c r="W134" i="11"/>
  <c r="Y134" i="11"/>
  <c r="J134" i="11"/>
  <c r="R134" i="11"/>
  <c r="AE134" i="11"/>
  <c r="M134" i="11"/>
  <c r="AB134" i="11"/>
  <c r="U131" i="11"/>
  <c r="N131" i="11"/>
  <c r="AF131" i="11"/>
  <c r="H134" i="11"/>
  <c r="L134" i="11"/>
  <c r="P134" i="11"/>
  <c r="X134" i="11"/>
  <c r="AA134" i="11"/>
  <c r="AI134" i="11"/>
  <c r="AH134" i="11"/>
  <c r="I134" i="11"/>
  <c r="Q134" i="11"/>
  <c r="AC134" i="11"/>
  <c r="G134" i="11"/>
  <c r="V134" i="11"/>
  <c r="O134" i="11"/>
  <c r="Z134" i="11"/>
  <c r="AF134" i="11"/>
  <c r="K134" i="11"/>
  <c r="S134" i="11"/>
  <c r="AG134" i="11"/>
  <c r="J131" i="11"/>
  <c r="R131" i="11"/>
  <c r="X131" i="11"/>
  <c r="H131" i="11"/>
  <c r="I131" i="11"/>
  <c r="M131" i="11"/>
  <c r="Q131" i="11"/>
  <c r="T131" i="11"/>
  <c r="Z131" i="11"/>
  <c r="AD131" i="11"/>
  <c r="AA131" i="11"/>
  <c r="AI131" i="11"/>
  <c r="K131" i="11"/>
  <c r="O131" i="11"/>
  <c r="S131" i="11"/>
  <c r="V131" i="11"/>
  <c r="Y131" i="11"/>
  <c r="AH131" i="11"/>
  <c r="AE131" i="11"/>
  <c r="L131" i="11"/>
  <c r="P131" i="11"/>
  <c r="G131" i="11"/>
  <c r="W131" i="11"/>
  <c r="AB131" i="11"/>
  <c r="AJ131" i="11"/>
  <c r="AG131" i="11"/>
  <c r="S7" i="10"/>
  <c r="H133" i="11"/>
  <c r="J133" i="11"/>
  <c r="L133" i="11"/>
  <c r="N133" i="11"/>
  <c r="P133" i="11"/>
  <c r="R133" i="11"/>
  <c r="G133" i="11"/>
  <c r="U133" i="11"/>
  <c r="W133" i="11"/>
  <c r="X133" i="11"/>
  <c r="AB133" i="11"/>
  <c r="AF133" i="11"/>
  <c r="AJ133" i="11"/>
  <c r="AC133" i="11"/>
  <c r="AG133" i="11"/>
  <c r="K133" i="11"/>
  <c r="Z133" i="11"/>
  <c r="AH133" i="11"/>
  <c r="AE133" i="11"/>
  <c r="I133" i="11"/>
  <c r="M133" i="11"/>
  <c r="O133" i="11"/>
  <c r="Q133" i="11"/>
  <c r="S133" i="11"/>
  <c r="T133" i="11"/>
  <c r="V133" i="11"/>
  <c r="Y133" i="11"/>
  <c r="AD133" i="11"/>
  <c r="AA133" i="11"/>
  <c r="AI133" i="11"/>
  <c r="H135" i="11"/>
  <c r="J135" i="11"/>
  <c r="L135" i="11"/>
  <c r="N135" i="11"/>
  <c r="P135" i="11"/>
  <c r="R135" i="11"/>
  <c r="G135" i="11"/>
  <c r="U135" i="11"/>
  <c r="W135" i="11"/>
  <c r="X135" i="11"/>
  <c r="AB135" i="11"/>
  <c r="AF135" i="11"/>
  <c r="AJ135" i="11"/>
  <c r="AC135" i="11"/>
  <c r="AG135" i="11"/>
  <c r="I135" i="11"/>
  <c r="K135" i="11"/>
  <c r="M135" i="11"/>
  <c r="O135" i="11"/>
  <c r="Q135" i="11"/>
  <c r="S135" i="11"/>
  <c r="T135" i="11"/>
  <c r="V135" i="11"/>
  <c r="Z135" i="11"/>
  <c r="Y135" i="11"/>
  <c r="AD135" i="11"/>
  <c r="AH135" i="11"/>
  <c r="AA135" i="11"/>
  <c r="AE135" i="11"/>
  <c r="AI135" i="11"/>
  <c r="G130" i="11"/>
  <c r="U130" i="11"/>
  <c r="H130" i="11"/>
  <c r="J130" i="11"/>
  <c r="L130" i="11"/>
  <c r="N130" i="11"/>
  <c r="P130" i="11"/>
  <c r="R130" i="11"/>
  <c r="X130" i="11"/>
  <c r="W130" i="11"/>
  <c r="AA130" i="11"/>
  <c r="AE130" i="11"/>
  <c r="AI130" i="11"/>
  <c r="AD130" i="11"/>
  <c r="AH130" i="11"/>
  <c r="T130" i="11"/>
  <c r="V130" i="11"/>
  <c r="I130" i="11"/>
  <c r="K130" i="11"/>
  <c r="M130" i="11"/>
  <c r="O130" i="11"/>
  <c r="Q130" i="11"/>
  <c r="S130" i="11"/>
  <c r="Y130" i="11"/>
  <c r="Z130" i="11"/>
  <c r="AC130" i="11"/>
  <c r="AG130" i="11"/>
  <c r="AB130" i="11"/>
  <c r="AF130" i="11"/>
  <c r="AJ130" i="11"/>
  <c r="U136" i="11"/>
  <c r="G136" i="11"/>
  <c r="I136" i="11"/>
  <c r="K136" i="11"/>
  <c r="M136" i="11"/>
  <c r="O136" i="11"/>
  <c r="Q136" i="11"/>
  <c r="S136" i="11"/>
  <c r="X136" i="11"/>
  <c r="Z136" i="11"/>
  <c r="AC136" i="11"/>
  <c r="AG136" i="11"/>
  <c r="AB136" i="11"/>
  <c r="AF136" i="11"/>
  <c r="AJ136" i="11"/>
  <c r="T136" i="11"/>
  <c r="V136" i="11"/>
  <c r="H136" i="11"/>
  <c r="J136" i="11"/>
  <c r="L136" i="11"/>
  <c r="N136" i="11"/>
  <c r="P136" i="11"/>
  <c r="R136" i="11"/>
  <c r="W136" i="11"/>
  <c r="Y136" i="11"/>
  <c r="AA136" i="11"/>
  <c r="AE136" i="11"/>
  <c r="AI136" i="11"/>
  <c r="AD136" i="11"/>
  <c r="AH136" i="11"/>
  <c r="G132" i="11"/>
  <c r="U132" i="11"/>
  <c r="H132" i="11"/>
  <c r="J132" i="11"/>
  <c r="L132" i="11"/>
  <c r="N132" i="11"/>
  <c r="P132" i="11"/>
  <c r="R132" i="11"/>
  <c r="W132" i="11"/>
  <c r="Y132" i="11"/>
  <c r="AA132" i="11"/>
  <c r="AE132" i="11"/>
  <c r="AI132" i="11"/>
  <c r="AD132" i="11"/>
  <c r="AH132" i="11"/>
  <c r="T132" i="11"/>
  <c r="V132" i="11"/>
  <c r="I132" i="11"/>
  <c r="K132" i="11"/>
  <c r="M132" i="11"/>
  <c r="O132" i="11"/>
  <c r="Q132" i="11"/>
  <c r="S132" i="11"/>
  <c r="X132" i="11"/>
  <c r="Z132" i="11"/>
  <c r="AC132" i="11"/>
  <c r="AG132" i="11"/>
  <c r="AB132" i="11"/>
  <c r="AF132" i="11"/>
  <c r="AJ132" i="11"/>
  <c r="I129" i="11"/>
  <c r="K129" i="11"/>
  <c r="M129" i="11"/>
  <c r="O129" i="11"/>
  <c r="Q129" i="11"/>
  <c r="S129" i="11"/>
  <c r="T129" i="11"/>
  <c r="V129" i="11"/>
  <c r="Z129" i="11"/>
  <c r="Y129" i="11"/>
  <c r="AD129" i="11"/>
  <c r="AH129" i="11"/>
  <c r="AA129" i="11"/>
  <c r="AE129" i="11"/>
  <c r="AI129" i="11"/>
  <c r="H129" i="11"/>
  <c r="J129" i="11"/>
  <c r="L129" i="11"/>
  <c r="N129" i="11"/>
  <c r="P129" i="11"/>
  <c r="R129" i="11"/>
  <c r="G129" i="11"/>
  <c r="U129" i="11"/>
  <c r="W129" i="11"/>
  <c r="X129" i="11"/>
  <c r="AB129" i="11"/>
  <c r="AF129" i="11"/>
  <c r="AJ129" i="11"/>
  <c r="AC129" i="11"/>
  <c r="AG129" i="11"/>
  <c r="E111" i="11"/>
  <c r="D122" i="11"/>
  <c r="D123" i="11" s="1"/>
  <c r="F80" i="7"/>
  <c r="F78" i="7"/>
  <c r="G74" i="7" s="1"/>
  <c r="Q84" i="7"/>
  <c r="F212" i="11" s="1"/>
  <c r="Z212" i="11" s="1"/>
  <c r="Z221" i="11" s="1"/>
  <c r="Z59" i="11" s="1"/>
  <c r="G26" i="10" s="1"/>
  <c r="S26" i="10" s="1"/>
  <c r="F211" i="11"/>
  <c r="E134" i="11" l="1"/>
  <c r="E131" i="11"/>
  <c r="C109" i="12"/>
  <c r="C110" i="12" s="1"/>
  <c r="D110" i="12" s="1"/>
  <c r="E130" i="11"/>
  <c r="E135" i="11"/>
  <c r="E133" i="11"/>
  <c r="G128" i="11"/>
  <c r="U128" i="11"/>
  <c r="U154" i="11" s="1"/>
  <c r="H128" i="11"/>
  <c r="H154" i="11" s="1"/>
  <c r="J128" i="11"/>
  <c r="J154" i="11" s="1"/>
  <c r="L128" i="11"/>
  <c r="L154" i="11" s="1"/>
  <c r="N128" i="11"/>
  <c r="N154" i="11" s="1"/>
  <c r="P128" i="11"/>
  <c r="P154" i="11" s="1"/>
  <c r="R128" i="11"/>
  <c r="R154" i="11" s="1"/>
  <c r="W128" i="11"/>
  <c r="W154" i="11" s="1"/>
  <c r="Y128" i="11"/>
  <c r="Y154" i="11" s="1"/>
  <c r="AA128" i="11"/>
  <c r="AE128" i="11"/>
  <c r="AI128" i="11"/>
  <c r="AD128" i="11"/>
  <c r="AH128" i="11"/>
  <c r="E122" i="11"/>
  <c r="E123" i="11" s="1"/>
  <c r="T128" i="11"/>
  <c r="T154" i="11" s="1"/>
  <c r="V128" i="11"/>
  <c r="V154" i="11" s="1"/>
  <c r="I128" i="11"/>
  <c r="I154" i="11" s="1"/>
  <c r="K128" i="11"/>
  <c r="K154" i="11" s="1"/>
  <c r="M128" i="11"/>
  <c r="M154" i="11" s="1"/>
  <c r="O128" i="11"/>
  <c r="O154" i="11" s="1"/>
  <c r="Q128" i="11"/>
  <c r="Q154" i="11" s="1"/>
  <c r="S128" i="11"/>
  <c r="S154" i="11" s="1"/>
  <c r="X128" i="11"/>
  <c r="X154" i="11" s="1"/>
  <c r="Z128" i="11"/>
  <c r="Z154" i="11" s="1"/>
  <c r="AC128" i="11"/>
  <c r="AG128" i="11"/>
  <c r="AB128" i="11"/>
  <c r="AF128" i="11"/>
  <c r="AJ128" i="11"/>
  <c r="E132" i="11"/>
  <c r="E129" i="11"/>
  <c r="E136" i="11"/>
  <c r="G27" i="7"/>
  <c r="F218" i="11"/>
  <c r="G210" i="11" s="1"/>
  <c r="T211" i="11"/>
  <c r="T221" i="11" s="1"/>
  <c r="T59" i="11" s="1"/>
  <c r="G20" i="10" s="1"/>
  <c r="S20" i="10" s="1"/>
  <c r="N120" i="12" l="1"/>
  <c r="N121" i="12" s="1"/>
  <c r="X69" i="11"/>
  <c r="X156" i="11"/>
  <c r="Q69" i="11"/>
  <c r="Q156" i="11"/>
  <c r="M69" i="11"/>
  <c r="M156" i="11"/>
  <c r="I69" i="11"/>
  <c r="I156" i="11"/>
  <c r="T69" i="11"/>
  <c r="T156" i="11"/>
  <c r="W69" i="11"/>
  <c r="W156" i="11"/>
  <c r="P69" i="11"/>
  <c r="P156" i="11"/>
  <c r="L69" i="11"/>
  <c r="L156" i="11"/>
  <c r="H69" i="11"/>
  <c r="H156" i="11"/>
  <c r="E128" i="11"/>
  <c r="E138" i="11" s="1"/>
  <c r="F138" i="11" s="1"/>
  <c r="G154" i="11"/>
  <c r="Z69" i="11"/>
  <c r="Z156" i="11"/>
  <c r="S69" i="11"/>
  <c r="S156" i="11"/>
  <c r="O69" i="11"/>
  <c r="O156" i="11"/>
  <c r="K69" i="11"/>
  <c r="K156" i="11"/>
  <c r="V69" i="11"/>
  <c r="V156" i="11"/>
  <c r="Y69" i="11"/>
  <c r="Y156" i="11"/>
  <c r="R69" i="11"/>
  <c r="R156" i="11"/>
  <c r="N69" i="11"/>
  <c r="N156" i="11"/>
  <c r="J69" i="11"/>
  <c r="J156" i="11"/>
  <c r="U69" i="11"/>
  <c r="U156" i="11"/>
  <c r="G218" i="11"/>
  <c r="H210" i="11" s="1"/>
  <c r="D120" i="12"/>
  <c r="C120" i="12"/>
  <c r="C121" i="12" s="1"/>
  <c r="G69" i="11" l="1"/>
  <c r="G156" i="11"/>
  <c r="H218" i="11"/>
  <c r="I210" i="11" s="1"/>
  <c r="G220" i="11"/>
  <c r="G25" i="11" s="1"/>
  <c r="G29" i="11" s="1"/>
  <c r="I218" i="11" l="1"/>
  <c r="J210" i="11" s="1"/>
  <c r="G51" i="11"/>
  <c r="D7" i="10"/>
  <c r="H220" i="11"/>
  <c r="H25" i="11" s="1"/>
  <c r="H29" i="11" s="1"/>
  <c r="H7" i="10" l="1"/>
  <c r="J218" i="11"/>
  <c r="K210" i="11" s="1"/>
  <c r="H51" i="11"/>
  <c r="D8" i="10"/>
  <c r="G56" i="11"/>
  <c r="G53" i="11"/>
  <c r="I220" i="11"/>
  <c r="I25" i="11" s="1"/>
  <c r="I29" i="11" s="1"/>
  <c r="J220" i="11" l="1"/>
  <c r="J25" i="11" s="1"/>
  <c r="J29" i="11" s="1"/>
  <c r="J51" i="11" s="1"/>
  <c r="I51" i="11"/>
  <c r="D9" i="10"/>
  <c r="H56" i="11"/>
  <c r="H53" i="11"/>
  <c r="G70" i="11"/>
  <c r="G61" i="11"/>
  <c r="G65" i="11" s="1"/>
  <c r="G66" i="11" s="1"/>
  <c r="P7" i="10"/>
  <c r="H8" i="10"/>
  <c r="K218" i="11"/>
  <c r="L210" i="11" s="1"/>
  <c r="D10" i="10" l="1"/>
  <c r="H10" i="10" s="1"/>
  <c r="K220" i="11"/>
  <c r="K25" i="11" s="1"/>
  <c r="K29" i="11" s="1"/>
  <c r="K51" i="11" s="1"/>
  <c r="L218" i="11"/>
  <c r="M210" i="11" s="1"/>
  <c r="G67" i="11"/>
  <c r="J56" i="11"/>
  <c r="J53" i="11"/>
  <c r="H70" i="11"/>
  <c r="H61" i="11"/>
  <c r="H65" i="11" s="1"/>
  <c r="H66" i="11" s="1"/>
  <c r="I56" i="11"/>
  <c r="I53" i="11"/>
  <c r="G161" i="11"/>
  <c r="G72" i="11"/>
  <c r="G73" i="11"/>
  <c r="P8" i="10"/>
  <c r="H9" i="10"/>
  <c r="D11" i="10" l="1"/>
  <c r="H11" i="10" s="1"/>
  <c r="P9" i="10"/>
  <c r="P10" i="10"/>
  <c r="G76" i="11"/>
  <c r="L7" i="10" s="1"/>
  <c r="J7" i="10"/>
  <c r="G165" i="11"/>
  <c r="G166" i="11"/>
  <c r="G174" i="11"/>
  <c r="G173" i="11"/>
  <c r="I70" i="11"/>
  <c r="I61" i="11"/>
  <c r="I65" i="11" s="1"/>
  <c r="I66" i="11" s="1"/>
  <c r="I67" i="11" s="1"/>
  <c r="H161" i="11"/>
  <c r="H73" i="11"/>
  <c r="H72" i="11"/>
  <c r="J70" i="11"/>
  <c r="J61" i="11"/>
  <c r="J65" i="11" s="1"/>
  <c r="J66" i="11" s="1"/>
  <c r="K56" i="11"/>
  <c r="K53" i="11"/>
  <c r="H67" i="11"/>
  <c r="L220" i="11"/>
  <c r="L25" i="11" s="1"/>
  <c r="L29" i="11" s="1"/>
  <c r="I7" i="10"/>
  <c r="M218" i="11"/>
  <c r="N210" i="11" s="1"/>
  <c r="G75" i="11" l="1"/>
  <c r="G79" i="11" s="1"/>
  <c r="J67" i="11"/>
  <c r="G177" i="11"/>
  <c r="G167" i="11"/>
  <c r="H164" i="11" s="1"/>
  <c r="N218" i="11"/>
  <c r="O210" i="11" s="1"/>
  <c r="K70" i="11"/>
  <c r="K61" i="11"/>
  <c r="K65" i="11" s="1"/>
  <c r="K66" i="11" s="1"/>
  <c r="J161" i="11"/>
  <c r="J73" i="11"/>
  <c r="J72" i="11"/>
  <c r="H76" i="11"/>
  <c r="L8" i="10" s="1"/>
  <c r="J8" i="10"/>
  <c r="M220" i="11"/>
  <c r="M25" i="11" s="1"/>
  <c r="M29" i="11" s="1"/>
  <c r="G169" i="11"/>
  <c r="G175" i="11"/>
  <c r="H172" i="11" s="1"/>
  <c r="L51" i="11"/>
  <c r="D12" i="10"/>
  <c r="P11" i="10"/>
  <c r="I8" i="10"/>
  <c r="H165" i="11"/>
  <c r="H166" i="11"/>
  <c r="H174" i="11"/>
  <c r="H173" i="11"/>
  <c r="I161" i="11"/>
  <c r="I72" i="11"/>
  <c r="I73" i="11"/>
  <c r="K7" i="10" l="1"/>
  <c r="R7" i="10" s="1"/>
  <c r="H75" i="11"/>
  <c r="H79" i="11" s="1"/>
  <c r="H80" i="11" s="1"/>
  <c r="O8" i="10" s="1"/>
  <c r="H167" i="11"/>
  <c r="I164" i="11" s="1"/>
  <c r="H169" i="11"/>
  <c r="H177" i="11"/>
  <c r="I76" i="11"/>
  <c r="L9" i="10" s="1"/>
  <c r="J9" i="10"/>
  <c r="I9" i="10"/>
  <c r="H12" i="10"/>
  <c r="M51" i="11"/>
  <c r="D13" i="10"/>
  <c r="I10" i="10"/>
  <c r="J165" i="11"/>
  <c r="J173" i="11"/>
  <c r="K161" i="11"/>
  <c r="K72" i="11"/>
  <c r="K73" i="11"/>
  <c r="N220" i="11"/>
  <c r="N25" i="11" s="1"/>
  <c r="N29" i="11" s="1"/>
  <c r="I165" i="11"/>
  <c r="I166" i="11"/>
  <c r="I174" i="11"/>
  <c r="I173" i="11"/>
  <c r="L56" i="11"/>
  <c r="L53" i="11"/>
  <c r="J76" i="11"/>
  <c r="L10" i="10" s="1"/>
  <c r="J10" i="10"/>
  <c r="K67" i="11"/>
  <c r="G80" i="11"/>
  <c r="O7" i="10" s="1"/>
  <c r="O218" i="11"/>
  <c r="P210" i="11" s="1"/>
  <c r="H175" i="11"/>
  <c r="I172" i="11" s="1"/>
  <c r="M7" i="10" l="1"/>
  <c r="N7" i="10" s="1"/>
  <c r="K8" i="10"/>
  <c r="R8" i="10" s="1"/>
  <c r="I75" i="11"/>
  <c r="I79" i="11" s="1"/>
  <c r="I175" i="11"/>
  <c r="J172" i="11" s="1"/>
  <c r="I167" i="11"/>
  <c r="I177" i="11"/>
  <c r="I169" i="11"/>
  <c r="P218" i="11"/>
  <c r="Q210" i="11" s="1"/>
  <c r="L70" i="11"/>
  <c r="L61" i="11"/>
  <c r="L65" i="11" s="1"/>
  <c r="L66" i="11" s="1"/>
  <c r="K76" i="11"/>
  <c r="L11" i="10" s="1"/>
  <c r="J11" i="10"/>
  <c r="K165" i="11"/>
  <c r="K173" i="11"/>
  <c r="M56" i="11"/>
  <c r="M53" i="11"/>
  <c r="O220" i="11"/>
  <c r="O25" i="11" s="1"/>
  <c r="O29" i="11" s="1"/>
  <c r="J75" i="11"/>
  <c r="P12" i="10"/>
  <c r="N51" i="11"/>
  <c r="D14" i="10"/>
  <c r="I11" i="10"/>
  <c r="H13" i="10"/>
  <c r="J164" i="11" l="1"/>
  <c r="J166" i="11"/>
  <c r="J169" i="11" s="1"/>
  <c r="J174" i="11"/>
  <c r="J177" i="11" s="1"/>
  <c r="K9" i="10"/>
  <c r="M9" i="10" s="1"/>
  <c r="M8" i="10"/>
  <c r="N8" i="10" s="1"/>
  <c r="K75" i="11"/>
  <c r="K79" i="11" s="1"/>
  <c r="N56" i="11"/>
  <c r="N53" i="11"/>
  <c r="H14" i="10"/>
  <c r="M70" i="11"/>
  <c r="M61" i="11"/>
  <c r="M65" i="11" s="1"/>
  <c r="M66" i="11" s="1"/>
  <c r="M67" i="11" s="1"/>
  <c r="L161" i="11"/>
  <c r="L73" i="11"/>
  <c r="L72" i="11"/>
  <c r="P220" i="11"/>
  <c r="P25" i="11" s="1"/>
  <c r="P29" i="11" s="1"/>
  <c r="K10" i="10"/>
  <c r="J79" i="11"/>
  <c r="J80" i="11" s="1"/>
  <c r="O10" i="10" s="1"/>
  <c r="O51" i="11"/>
  <c r="D15" i="10"/>
  <c r="I80" i="11"/>
  <c r="O9" i="10" s="1"/>
  <c r="P13" i="10"/>
  <c r="L67" i="11"/>
  <c r="Q218" i="11"/>
  <c r="R210" i="11" s="1"/>
  <c r="J167" i="11" l="1"/>
  <c r="K164" i="11" s="1"/>
  <c r="K11" i="10"/>
  <c r="R11" i="10" s="1"/>
  <c r="J175" i="11"/>
  <c r="K172" i="11" s="1"/>
  <c r="R9" i="10"/>
  <c r="N9" i="10"/>
  <c r="K80" i="11"/>
  <c r="O11" i="10" s="1"/>
  <c r="H15" i="10"/>
  <c r="P51" i="11"/>
  <c r="D16" i="10"/>
  <c r="I12" i="10"/>
  <c r="L165" i="11"/>
  <c r="L173" i="11"/>
  <c r="M161" i="11"/>
  <c r="M72" i="11"/>
  <c r="M73" i="11"/>
  <c r="N70" i="11"/>
  <c r="N61" i="11"/>
  <c r="N65" i="11" s="1"/>
  <c r="N66" i="11" s="1"/>
  <c r="R218" i="11"/>
  <c r="S210" i="11" s="1"/>
  <c r="O56" i="11"/>
  <c r="O53" i="11"/>
  <c r="R10" i="10"/>
  <c r="M10" i="10"/>
  <c r="L76" i="11"/>
  <c r="L12" i="10" s="1"/>
  <c r="J12" i="10"/>
  <c r="P14" i="10"/>
  <c r="Q220" i="11"/>
  <c r="Q25" i="11" s="1"/>
  <c r="Q29" i="11" s="1"/>
  <c r="K174" i="11" l="1"/>
  <c r="K175" i="11" s="1"/>
  <c r="L172" i="11" s="1"/>
  <c r="K166" i="11"/>
  <c r="K169" i="11" s="1"/>
  <c r="M11" i="10"/>
  <c r="N10" i="10"/>
  <c r="R220" i="11"/>
  <c r="R25" i="11" s="1"/>
  <c r="R29" i="11" s="1"/>
  <c r="D18" i="10" s="1"/>
  <c r="Q51" i="11"/>
  <c r="D17" i="10"/>
  <c r="P15" i="10"/>
  <c r="S218" i="11"/>
  <c r="T210" i="11" s="1"/>
  <c r="N161" i="11"/>
  <c r="N73" i="11"/>
  <c r="N72" i="11"/>
  <c r="I13" i="10"/>
  <c r="H16" i="10"/>
  <c r="O70" i="11"/>
  <c r="O61" i="11"/>
  <c r="O65" i="11" s="1"/>
  <c r="O66" i="11" s="1"/>
  <c r="N67" i="11"/>
  <c r="M76" i="11"/>
  <c r="L13" i="10" s="1"/>
  <c r="J13" i="10"/>
  <c r="M165" i="11"/>
  <c r="M173" i="11"/>
  <c r="P56" i="11"/>
  <c r="P53" i="11"/>
  <c r="L75" i="11"/>
  <c r="N11" i="10" l="1"/>
  <c r="K177" i="11"/>
  <c r="K167" i="11"/>
  <c r="L174" i="11" s="1"/>
  <c r="R51" i="11"/>
  <c r="R53" i="11" s="1"/>
  <c r="S220" i="11"/>
  <c r="S25" i="11" s="1"/>
  <c r="S29" i="11" s="1"/>
  <c r="D19" i="10" s="1"/>
  <c r="P70" i="11"/>
  <c r="P61" i="11"/>
  <c r="P65" i="11" s="1"/>
  <c r="P66" i="11" s="1"/>
  <c r="H18" i="10"/>
  <c r="O67" i="11"/>
  <c r="N76" i="11"/>
  <c r="L14" i="10" s="1"/>
  <c r="J14" i="10"/>
  <c r="T218" i="11"/>
  <c r="U210" i="11" s="1"/>
  <c r="H17" i="10"/>
  <c r="M75" i="11"/>
  <c r="K12" i="10"/>
  <c r="L79" i="11"/>
  <c r="P16" i="10"/>
  <c r="O161" i="11"/>
  <c r="O72" i="11"/>
  <c r="O73" i="11"/>
  <c r="I14" i="10"/>
  <c r="N165" i="11"/>
  <c r="N173" i="11"/>
  <c r="Q56" i="11"/>
  <c r="Q53" i="11"/>
  <c r="L164" i="11" l="1"/>
  <c r="L166" i="11"/>
  <c r="L169" i="11" s="1"/>
  <c r="L177" i="11"/>
  <c r="L175" i="11"/>
  <c r="M172" i="11" s="1"/>
  <c r="R56" i="11"/>
  <c r="R70" i="11" s="1"/>
  <c r="N75" i="11"/>
  <c r="K14" i="10" s="1"/>
  <c r="T220" i="11"/>
  <c r="T25" i="11" s="1"/>
  <c r="T29" i="11" s="1"/>
  <c r="T51" i="11" s="1"/>
  <c r="T56" i="11" s="1"/>
  <c r="S51" i="11"/>
  <c r="S56" i="11" s="1"/>
  <c r="P18" i="10"/>
  <c r="L80" i="11"/>
  <c r="O12" i="10" s="1"/>
  <c r="P17" i="10"/>
  <c r="H19" i="10"/>
  <c r="O76" i="11"/>
  <c r="L15" i="10" s="1"/>
  <c r="J15" i="10"/>
  <c r="O165" i="11"/>
  <c r="O173" i="11"/>
  <c r="R12" i="10"/>
  <c r="M12" i="10"/>
  <c r="N12" i="10" s="1"/>
  <c r="U218" i="11"/>
  <c r="V210" i="11" s="1"/>
  <c r="P161" i="11"/>
  <c r="P73" i="11"/>
  <c r="P72" i="11"/>
  <c r="Q70" i="11"/>
  <c r="Q61" i="11"/>
  <c r="Q65" i="11" s="1"/>
  <c r="Q66" i="11" s="1"/>
  <c r="I15" i="10"/>
  <c r="K13" i="10"/>
  <c r="M79" i="11"/>
  <c r="P67" i="11"/>
  <c r="L167" i="11" l="1"/>
  <c r="M174" i="11" s="1"/>
  <c r="M177" i="11" s="1"/>
  <c r="R61" i="11"/>
  <c r="R65" i="11" s="1"/>
  <c r="R66" i="11" s="1"/>
  <c r="R67" i="11" s="1"/>
  <c r="O75" i="11"/>
  <c r="O79" i="11" s="1"/>
  <c r="N79" i="11"/>
  <c r="N80" i="11" s="1"/>
  <c r="O14" i="10" s="1"/>
  <c r="D20" i="10"/>
  <c r="H20" i="10" s="1"/>
  <c r="S53" i="11"/>
  <c r="E53" i="11" s="1"/>
  <c r="G70" i="7" s="1"/>
  <c r="G71" i="7" s="1"/>
  <c r="D11" i="9" s="1"/>
  <c r="U220" i="11"/>
  <c r="U25" i="11" s="1"/>
  <c r="U29" i="11" s="1"/>
  <c r="D21" i="10" s="1"/>
  <c r="T70" i="11"/>
  <c r="T61" i="11"/>
  <c r="T65" i="11" s="1"/>
  <c r="T66" i="11" s="1"/>
  <c r="Q67" i="11"/>
  <c r="I16" i="10"/>
  <c r="P165" i="11"/>
  <c r="P173" i="11"/>
  <c r="V218" i="11"/>
  <c r="W210" i="11" s="1"/>
  <c r="R161" i="11"/>
  <c r="R72" i="11"/>
  <c r="R73" i="11"/>
  <c r="R13" i="10"/>
  <c r="M13" i="10"/>
  <c r="N13" i="10" s="1"/>
  <c r="Q161" i="11"/>
  <c r="Q72" i="11"/>
  <c r="Q73" i="11"/>
  <c r="P76" i="11"/>
  <c r="L16" i="10" s="1"/>
  <c r="J16" i="10"/>
  <c r="R14" i="10"/>
  <c r="M14" i="10"/>
  <c r="S70" i="11"/>
  <c r="S61" i="11"/>
  <c r="S65" i="11" s="1"/>
  <c r="S66" i="11" s="1"/>
  <c r="M80" i="11"/>
  <c r="O13" i="10" s="1"/>
  <c r="M164" i="11" l="1"/>
  <c r="M175" i="11"/>
  <c r="N172" i="11" s="1"/>
  <c r="M166" i="11"/>
  <c r="M169" i="11" s="1"/>
  <c r="K15" i="10"/>
  <c r="M15" i="10" s="1"/>
  <c r="P19" i="10"/>
  <c r="U51" i="11"/>
  <c r="U56" i="11" s="1"/>
  <c r="U61" i="11" s="1"/>
  <c r="U65" i="11" s="1"/>
  <c r="U66" i="11" s="1"/>
  <c r="O80" i="11"/>
  <c r="O15" i="10" s="1"/>
  <c r="F53" i="11"/>
  <c r="Z54" i="11" s="1"/>
  <c r="N14" i="10"/>
  <c r="V220" i="11"/>
  <c r="V25" i="11" s="1"/>
  <c r="V29" i="11" s="1"/>
  <c r="V51" i="11" s="1"/>
  <c r="V56" i="11" s="1"/>
  <c r="Q76" i="11"/>
  <c r="L17" i="10" s="1"/>
  <c r="J17" i="10"/>
  <c r="Q165" i="11"/>
  <c r="Q173" i="11"/>
  <c r="S161" i="11"/>
  <c r="S72" i="11"/>
  <c r="S73" i="11"/>
  <c r="I17" i="10"/>
  <c r="R76" i="11"/>
  <c r="L18" i="10" s="1"/>
  <c r="J18" i="10"/>
  <c r="R165" i="11"/>
  <c r="R173" i="11"/>
  <c r="W218" i="11"/>
  <c r="X210" i="11" s="1"/>
  <c r="T161" i="11"/>
  <c r="T72" i="11"/>
  <c r="T73" i="11"/>
  <c r="P75" i="11"/>
  <c r="S67" i="11"/>
  <c r="H21" i="10"/>
  <c r="I18" i="10"/>
  <c r="T67" i="11"/>
  <c r="M167" i="11" l="1"/>
  <c r="N164" i="11" s="1"/>
  <c r="V54" i="11"/>
  <c r="R15" i="10"/>
  <c r="AI54" i="11"/>
  <c r="I54" i="11"/>
  <c r="AD54" i="11"/>
  <c r="N54" i="11"/>
  <c r="G67" i="7"/>
  <c r="G68" i="7" s="1"/>
  <c r="D10" i="9" s="1"/>
  <c r="Q54" i="11"/>
  <c r="AA54" i="11"/>
  <c r="R54" i="11"/>
  <c r="J54" i="11"/>
  <c r="Y54" i="11"/>
  <c r="AB54" i="11"/>
  <c r="M54" i="11"/>
  <c r="AG54" i="11"/>
  <c r="AJ54" i="11"/>
  <c r="U70" i="11"/>
  <c r="U72" i="11" s="1"/>
  <c r="T54" i="11"/>
  <c r="O54" i="11"/>
  <c r="K54" i="11"/>
  <c r="G54" i="11"/>
  <c r="AC54" i="11"/>
  <c r="U54" i="11"/>
  <c r="AF54" i="11"/>
  <c r="X54" i="11"/>
  <c r="S54" i="11"/>
  <c r="P54" i="11"/>
  <c r="L54" i="11"/>
  <c r="H54" i="11"/>
  <c r="AE54" i="11"/>
  <c r="W54" i="11"/>
  <c r="AH54" i="11"/>
  <c r="D22" i="10"/>
  <c r="H22" i="10" s="1"/>
  <c r="N15" i="10"/>
  <c r="Q75" i="11"/>
  <c r="Q79" i="11" s="1"/>
  <c r="R75" i="11"/>
  <c r="R79" i="11" s="1"/>
  <c r="I20" i="10"/>
  <c r="X218" i="11"/>
  <c r="Y210" i="11" s="1"/>
  <c r="U67" i="11"/>
  <c r="S76" i="11"/>
  <c r="L19" i="10" s="1"/>
  <c r="J19" i="10"/>
  <c r="S165" i="11"/>
  <c r="S173" i="11"/>
  <c r="V70" i="11"/>
  <c r="V61" i="11"/>
  <c r="V65" i="11" s="1"/>
  <c r="V66" i="11" s="1"/>
  <c r="K16" i="10"/>
  <c r="P79" i="11"/>
  <c r="T76" i="11"/>
  <c r="L20" i="10" s="1"/>
  <c r="J20" i="10"/>
  <c r="T165" i="11"/>
  <c r="T173" i="11"/>
  <c r="I19" i="10"/>
  <c r="W220" i="11"/>
  <c r="W25" i="11" s="1"/>
  <c r="W29" i="11" s="1"/>
  <c r="N166" i="11" l="1"/>
  <c r="N169" i="11" s="1"/>
  <c r="N174" i="11"/>
  <c r="N177" i="11" s="1"/>
  <c r="U73" i="11"/>
  <c r="J21" i="10" s="1"/>
  <c r="K17" i="10"/>
  <c r="R17" i="10" s="1"/>
  <c r="U161" i="11"/>
  <c r="U165" i="11" s="1"/>
  <c r="F67" i="7"/>
  <c r="S75" i="11"/>
  <c r="S79" i="11" s="1"/>
  <c r="S80" i="11" s="1"/>
  <c r="O19" i="10" s="1"/>
  <c r="K18" i="10"/>
  <c r="R18" i="10" s="1"/>
  <c r="Q80" i="11"/>
  <c r="O17" i="10" s="1"/>
  <c r="I21" i="10"/>
  <c r="P80" i="11"/>
  <c r="O16" i="10" s="1"/>
  <c r="V67" i="11"/>
  <c r="R80" i="11"/>
  <c r="O18" i="10" s="1"/>
  <c r="X220" i="11"/>
  <c r="X25" i="11" s="1"/>
  <c r="X29" i="11" s="1"/>
  <c r="T75" i="11"/>
  <c r="W51" i="11"/>
  <c r="W56" i="11" s="1"/>
  <c r="D23" i="10"/>
  <c r="R16" i="10"/>
  <c r="M16" i="10"/>
  <c r="N16" i="10" s="1"/>
  <c r="V161" i="11"/>
  <c r="V72" i="11"/>
  <c r="V73" i="11"/>
  <c r="Y218" i="11"/>
  <c r="Z210" i="11" s="1"/>
  <c r="N167" i="11" l="1"/>
  <c r="N175" i="11"/>
  <c r="O172" i="11" s="1"/>
  <c r="U76" i="11"/>
  <c r="L21" i="10" s="1"/>
  <c r="M18" i="10"/>
  <c r="U173" i="11"/>
  <c r="M17" i="10"/>
  <c r="N17" i="10" s="1"/>
  <c r="K19" i="10"/>
  <c r="M19" i="10" s="1"/>
  <c r="Y220" i="11"/>
  <c r="Y25" i="11" s="1"/>
  <c r="Y29" i="11" s="1"/>
  <c r="D25" i="10" s="1"/>
  <c r="V165" i="11"/>
  <c r="V173" i="11"/>
  <c r="W70" i="11"/>
  <c r="W61" i="11"/>
  <c r="W65" i="11" s="1"/>
  <c r="W66" i="11" s="1"/>
  <c r="X51" i="11"/>
  <c r="X56" i="11" s="1"/>
  <c r="D24" i="10"/>
  <c r="V76" i="11"/>
  <c r="L22" i="10" s="1"/>
  <c r="J22" i="10"/>
  <c r="Z218" i="11"/>
  <c r="AA210" i="11" s="1"/>
  <c r="AA220" i="11" s="1"/>
  <c r="AA25" i="11" s="1"/>
  <c r="AA29" i="11" s="1"/>
  <c r="AA51" i="11" s="1"/>
  <c r="AA56" i="11" s="1"/>
  <c r="I22" i="10"/>
  <c r="H23" i="10"/>
  <c r="K20" i="10"/>
  <c r="T79" i="11"/>
  <c r="T80" i="11" s="1"/>
  <c r="O20" i="10" s="1"/>
  <c r="O166" i="11" l="1"/>
  <c r="O169" i="11" s="1"/>
  <c r="O174" i="11"/>
  <c r="O177" i="11" s="1"/>
  <c r="O164" i="11"/>
  <c r="U75" i="11"/>
  <c r="U79" i="11" s="1"/>
  <c r="U80" i="11" s="1"/>
  <c r="O21" i="10" s="1"/>
  <c r="N18" i="10"/>
  <c r="N19" i="10" s="1"/>
  <c r="R19" i="10"/>
  <c r="Y51" i="11"/>
  <c r="Y56" i="11" s="1"/>
  <c r="Y61" i="11" s="1"/>
  <c r="Y65" i="11" s="1"/>
  <c r="Y66" i="11" s="1"/>
  <c r="V75" i="11"/>
  <c r="V79" i="11" s="1"/>
  <c r="AA70" i="11"/>
  <c r="AA61" i="11"/>
  <c r="AA65" i="11" s="1"/>
  <c r="AA66" i="11" s="1"/>
  <c r="H24" i="10"/>
  <c r="W67" i="11"/>
  <c r="H25" i="10"/>
  <c r="R20" i="10"/>
  <c r="M20" i="10"/>
  <c r="X70" i="11"/>
  <c r="X61" i="11"/>
  <c r="X65" i="11" s="1"/>
  <c r="X66" i="11" s="1"/>
  <c r="W161" i="11"/>
  <c r="W72" i="11"/>
  <c r="W73" i="11"/>
  <c r="Z220" i="11"/>
  <c r="Z25" i="11" s="1"/>
  <c r="Z29" i="11" s="1"/>
  <c r="O175" i="11" l="1"/>
  <c r="P172" i="11" s="1"/>
  <c r="O167" i="11"/>
  <c r="K21" i="10"/>
  <c r="M21" i="10" s="1"/>
  <c r="V80" i="11"/>
  <c r="O22" i="10" s="1"/>
  <c r="N20" i="10"/>
  <c r="K22" i="10"/>
  <c r="M22" i="10" s="1"/>
  <c r="Y70" i="11"/>
  <c r="Y73" i="11" s="1"/>
  <c r="Y67" i="11"/>
  <c r="W76" i="11"/>
  <c r="L23" i="10" s="1"/>
  <c r="J23" i="10"/>
  <c r="W165" i="11"/>
  <c r="W173" i="11"/>
  <c r="X161" i="11"/>
  <c r="X72" i="11"/>
  <c r="X73" i="11"/>
  <c r="AA72" i="11"/>
  <c r="AA161" i="11"/>
  <c r="AA73" i="11"/>
  <c r="AA76" i="11" s="1"/>
  <c r="Z51" i="11"/>
  <c r="Z56" i="11" s="1"/>
  <c r="D26" i="10"/>
  <c r="I23" i="10"/>
  <c r="X67" i="11"/>
  <c r="P166" i="11" l="1"/>
  <c r="P169" i="11" s="1"/>
  <c r="P174" i="11"/>
  <c r="P177" i="11" s="1"/>
  <c r="P164" i="11"/>
  <c r="R21" i="10"/>
  <c r="N21" i="10"/>
  <c r="N22" i="10" s="1"/>
  <c r="R22" i="10"/>
  <c r="W75" i="11"/>
  <c r="K23" i="10" s="1"/>
  <c r="Y161" i="11"/>
  <c r="Y165" i="11" s="1"/>
  <c r="Y72" i="11"/>
  <c r="I25" i="10" s="1"/>
  <c r="H26" i="10"/>
  <c r="AA165" i="11"/>
  <c r="AA174" i="11"/>
  <c r="AA166" i="11"/>
  <c r="AA173" i="11"/>
  <c r="X76" i="11"/>
  <c r="L24" i="10" s="1"/>
  <c r="J24" i="10"/>
  <c r="X165" i="11"/>
  <c r="X173" i="11"/>
  <c r="Y76" i="11"/>
  <c r="L25" i="10" s="1"/>
  <c r="J25" i="10"/>
  <c r="Z70" i="11"/>
  <c r="Z61" i="11"/>
  <c r="Z65" i="11" s="1"/>
  <c r="Z66" i="11" s="1"/>
  <c r="I24" i="10"/>
  <c r="AA75" i="11"/>
  <c r="AA79" i="11" s="1"/>
  <c r="P175" i="11" l="1"/>
  <c r="Q172" i="11" s="1"/>
  <c r="P167" i="11"/>
  <c r="W79" i="11"/>
  <c r="W80" i="11" s="1"/>
  <c r="O23" i="10" s="1"/>
  <c r="Y173" i="11"/>
  <c r="AA169" i="11"/>
  <c r="X75" i="11"/>
  <c r="K24" i="10" s="1"/>
  <c r="AA177" i="11"/>
  <c r="Z72" i="11"/>
  <c r="Z161" i="11"/>
  <c r="Z73" i="11"/>
  <c r="R23" i="10"/>
  <c r="M23" i="10"/>
  <c r="N23" i="10" s="1"/>
  <c r="Y75" i="11"/>
  <c r="Z67" i="11"/>
  <c r="AC67" i="11"/>
  <c r="AG67" i="11"/>
  <c r="AJ67" i="11"/>
  <c r="AB67" i="11"/>
  <c r="AD67" i="11"/>
  <c r="AA67" i="11"/>
  <c r="AH67" i="11"/>
  <c r="D82" i="11"/>
  <c r="AE67" i="11"/>
  <c r="AI67" i="11"/>
  <c r="AF67" i="11"/>
  <c r="Q166" i="11" l="1"/>
  <c r="Q169" i="11" s="1"/>
  <c r="Q164" i="11"/>
  <c r="Q174" i="11"/>
  <c r="X79" i="11"/>
  <c r="X80" i="11" s="1"/>
  <c r="O24" i="10" s="1"/>
  <c r="K25" i="10"/>
  <c r="Y79" i="11"/>
  <c r="Z76" i="11"/>
  <c r="L26" i="10" s="1"/>
  <c r="J26" i="10"/>
  <c r="I26" i="10"/>
  <c r="R24" i="10"/>
  <c r="M24" i="10"/>
  <c r="N24" i="10" s="1"/>
  <c r="Z165" i="11"/>
  <c r="Z173" i="11"/>
  <c r="Q167" i="11" l="1"/>
  <c r="Q177" i="11"/>
  <c r="Q175" i="11"/>
  <c r="R172" i="11" s="1"/>
  <c r="Z75" i="11"/>
  <c r="Z79" i="11" s="1"/>
  <c r="Y80" i="11"/>
  <c r="O25" i="10" s="1"/>
  <c r="R25" i="10"/>
  <c r="M25" i="10"/>
  <c r="N25" i="10" s="1"/>
  <c r="R166" i="11" l="1"/>
  <c r="R169" i="11" s="1"/>
  <c r="R164" i="11"/>
  <c r="R174" i="11"/>
  <c r="R177" i="11" s="1"/>
  <c r="K26" i="10"/>
  <c r="M26" i="10" s="1"/>
  <c r="N26" i="10" s="1"/>
  <c r="N27" i="10" s="1"/>
  <c r="N28" i="10" s="1"/>
  <c r="N29" i="10" s="1"/>
  <c r="N30" i="10" s="1"/>
  <c r="N31" i="10" s="1"/>
  <c r="N32" i="10" s="1"/>
  <c r="N33" i="10" s="1"/>
  <c r="N34" i="10" s="1"/>
  <c r="N35" i="10" s="1"/>
  <c r="N36" i="10" s="1"/>
  <c r="Z80" i="11"/>
  <c r="O26" i="10" s="1"/>
  <c r="AE80" i="11"/>
  <c r="AJ80" i="11"/>
  <c r="AA80" i="11"/>
  <c r="D83" i="11"/>
  <c r="AB80" i="11"/>
  <c r="AH80" i="11"/>
  <c r="AC80" i="11"/>
  <c r="AF80" i="11"/>
  <c r="AD80" i="11"/>
  <c r="AG80" i="11"/>
  <c r="AI80" i="11"/>
  <c r="D84" i="11"/>
  <c r="R167" i="11" l="1"/>
  <c r="R175" i="11"/>
  <c r="S172" i="11" s="1"/>
  <c r="R26" i="10"/>
  <c r="K225" i="11"/>
  <c r="G225" i="11"/>
  <c r="O225" i="11"/>
  <c r="S164" i="11" l="1"/>
  <c r="S174" i="11"/>
  <c r="S177" i="11" s="1"/>
  <c r="S166" i="11"/>
  <c r="S169" i="11" s="1"/>
  <c r="S167" i="11" l="1"/>
  <c r="T174" i="11" s="1"/>
  <c r="T177" i="11" s="1"/>
  <c r="S175" i="11"/>
  <c r="T172" i="11" s="1"/>
  <c r="T164" i="11" l="1"/>
  <c r="T166" i="11"/>
  <c r="T169" i="11" s="1"/>
  <c r="T175" i="11"/>
  <c r="U172" i="11" s="1"/>
  <c r="T167" i="11" l="1"/>
  <c r="U166" i="11" s="1"/>
  <c r="U169" i="11" s="1"/>
  <c r="U164" i="11" l="1"/>
  <c r="U167" i="11" s="1"/>
  <c r="V164" i="11" s="1"/>
  <c r="U174" i="11"/>
  <c r="U177" i="11" s="1"/>
  <c r="U175" i="11" l="1"/>
  <c r="V172" i="11" s="1"/>
  <c r="V174" i="11"/>
  <c r="V177" i="11" s="1"/>
  <c r="V166" i="11"/>
  <c r="V169" i="11" s="1"/>
  <c r="V175" i="11" l="1"/>
  <c r="W172" i="11" s="1"/>
  <c r="V167" i="11"/>
  <c r="W166" i="11" s="1"/>
  <c r="W169" i="11" s="1"/>
  <c r="W174" i="11" l="1"/>
  <c r="W177" i="11" s="1"/>
  <c r="W164" i="11"/>
  <c r="W167" i="11" s="1"/>
  <c r="X166" i="11" s="1"/>
  <c r="X169" i="11" s="1"/>
  <c r="X174" i="11" l="1"/>
  <c r="X177" i="11" s="1"/>
  <c r="W175" i="11"/>
  <c r="X172" i="11" s="1"/>
  <c r="X164" i="11"/>
  <c r="X167" i="11" s="1"/>
  <c r="Y164" i="11" s="1"/>
  <c r="Y174" i="11" l="1"/>
  <c r="Y177" i="11" s="1"/>
  <c r="X175" i="11"/>
  <c r="Y172" i="11" s="1"/>
  <c r="Y166" i="11"/>
  <c r="Y169" i="11" s="1"/>
  <c r="Y175" i="11" l="1"/>
  <c r="Z172" i="11" s="1"/>
  <c r="Y167" i="11"/>
  <c r="Z164" i="11" l="1"/>
  <c r="Z166" i="11"/>
  <c r="Z169" i="11" s="1"/>
  <c r="Z174" i="11"/>
  <c r="Z167" i="11" l="1"/>
  <c r="AA164" i="11" s="1"/>
  <c r="AA167" i="11" s="1"/>
  <c r="AB164" i="11" s="1"/>
  <c r="AB167" i="11" s="1"/>
  <c r="AC164" i="11" s="1"/>
  <c r="AC167" i="11" s="1"/>
  <c r="AD164" i="11" s="1"/>
  <c r="AD167" i="11" s="1"/>
  <c r="AE164" i="11" s="1"/>
  <c r="AE167" i="11" s="1"/>
  <c r="AF164" i="11" s="1"/>
  <c r="AF167" i="11" s="1"/>
  <c r="AG164" i="11" s="1"/>
  <c r="AG167" i="11" s="1"/>
  <c r="AH164" i="11" s="1"/>
  <c r="AH167" i="11" s="1"/>
  <c r="AI164" i="11" s="1"/>
  <c r="AI167" i="11" s="1"/>
  <c r="AJ164" i="11" s="1"/>
  <c r="AJ167" i="11" s="1"/>
  <c r="Z177" i="11"/>
  <c r="Z175" i="11"/>
  <c r="AA172" i="11" s="1"/>
  <c r="AA175" i="11" s="1"/>
  <c r="AB172" i="11" s="1"/>
  <c r="AB175" i="11" s="1"/>
  <c r="AC172" i="11" s="1"/>
  <c r="AC175" i="11" s="1"/>
  <c r="AD172" i="11" s="1"/>
  <c r="AD175" i="11" s="1"/>
  <c r="AE172" i="11" s="1"/>
  <c r="AE175" i="11" s="1"/>
  <c r="AF172" i="11" s="1"/>
  <c r="AF175" i="11" s="1"/>
  <c r="AG172" i="11" s="1"/>
  <c r="AG175" i="11" s="1"/>
  <c r="AH172" i="11" s="1"/>
  <c r="AH175" i="11" s="1"/>
  <c r="AI172" i="11" s="1"/>
  <c r="AI175" i="11" s="1"/>
  <c r="AJ172" i="11" s="1"/>
  <c r="AJ175"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Jason Gifford</author>
  </authors>
  <commentList>
    <comment ref="D23" authorId="0" shapeId="0" xr:uid="{00000000-0006-0000-0000-000001000000}">
      <text>
        <r>
          <rPr>
            <b/>
            <sz val="14"/>
            <color indexed="81"/>
            <rFont val="Tahoma"/>
            <family val="2"/>
          </rPr>
          <t>Note:</t>
        </r>
        <r>
          <rPr>
            <sz val="14"/>
            <color indexed="81"/>
            <rFont val="Tahoma"/>
            <family val="2"/>
          </rPr>
          <t xml:space="preserve">
The user is strongly encouraged to review all of these comments in order to understand key features of the CREST model.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Jason Gifford</author>
    <author>Tyler Leeds</author>
  </authors>
  <commentList>
    <comment ref="C4" authorId="0" shapeId="0" xr:uid="{00000000-0006-0000-0100-000001000000}">
      <text>
        <r>
          <rPr>
            <sz val="14"/>
            <color indexed="81"/>
            <rFont val="Tahoma"/>
            <family val="2"/>
          </rPr>
          <t xml:space="preserve">The "Check" column evaluates whether or not values have been enterred in all required fields.  Green denotes an accepted entry in a required field or a calculation for which the minimum required precedents have been satisfied.  Red denotes the absence of an entry in a required field, or a calculation for which the minimum required precendents have NOT been satisfied.
</t>
        </r>
        <r>
          <rPr>
            <b/>
            <sz val="14"/>
            <color indexed="81"/>
            <rFont val="Tahoma"/>
            <family val="2"/>
          </rPr>
          <t>Please note</t>
        </r>
        <r>
          <rPr>
            <sz val="14"/>
            <color indexed="81"/>
            <rFont val="Tahoma"/>
            <family val="2"/>
          </rPr>
          <t xml:space="preserve"> that while the "Check" column ensures the population of all required fields, this column does NOT validate the magnitude of such entries.  It is the model user's responsibility to provide inputs which accurately represent the project being modeled.  In some cases, a range of typical values for a specified input are provided in that input's "Notes" cell.</t>
        </r>
      </text>
    </comment>
    <comment ref="I4" authorId="0" shapeId="0" xr:uid="{00000000-0006-0000-0100-000002000000}">
      <text>
        <r>
          <rPr>
            <sz val="14"/>
            <color indexed="81"/>
            <rFont val="Tahoma"/>
            <family val="2"/>
          </rPr>
          <t xml:space="preserve">Each cell in the "Notes" column provides a brief description of the input in the corresponding row, its application within the model, and (in some cases) the range of values that might be expected to populate that  input cell.  It is the model user's responsibility, however, to research and validate the applicability of, and appropriate value for, each input.
</t>
        </r>
        <r>
          <rPr>
            <sz val="8"/>
            <color indexed="81"/>
            <rFont val="Tahoma"/>
            <family val="2"/>
          </rPr>
          <t xml:space="preserve">
</t>
        </r>
      </text>
    </comment>
    <comment ref="M4" authorId="0" shapeId="0" xr:uid="{00000000-0006-0000-0100-000003000000}">
      <text>
        <r>
          <rPr>
            <sz val="14"/>
            <color indexed="81"/>
            <rFont val="Tahoma"/>
            <family val="2"/>
          </rPr>
          <t xml:space="preserve">The "Check" column evaluates whether or not values have been enterred in all required fields.  Green denotes an accepted entry in a required field or a calculation for which the minimum required precedents have been satisfied.  Red denotes the absence of an entry in a required field, or a calculation for which the minimum required precendents have NOT been satisfied.
</t>
        </r>
        <r>
          <rPr>
            <b/>
            <sz val="14"/>
            <color indexed="81"/>
            <rFont val="Tahoma"/>
            <family val="2"/>
          </rPr>
          <t>Please note</t>
        </r>
        <r>
          <rPr>
            <sz val="14"/>
            <color indexed="81"/>
            <rFont val="Tahoma"/>
            <family val="2"/>
          </rPr>
          <t xml:space="preserve"> that while the "Check" column ensures the population of all required fields, this column does NOT validate the magnitude of such entries.  It is the model user's responsibility to provide inputs which accurately represent the project being modeled.  In some cases, a range of typical values for a specified input are provided in that input's "Notes" cell.</t>
        </r>
      </text>
    </comment>
    <comment ref="S4" authorId="0" shapeId="0" xr:uid="{00000000-0006-0000-0100-000004000000}">
      <text>
        <r>
          <rPr>
            <sz val="14"/>
            <color indexed="81"/>
            <rFont val="Tahoma"/>
            <family val="2"/>
          </rPr>
          <t>Each cell in the "Notes" column provides a brief description of the input in the corresponding row, its application within the model, and (in some cases) the range of values that might be expected to populate that  input cell. It is the model user's responsibility, however, to research and validate the applicability of, and appropriate value for, each input.</t>
        </r>
        <r>
          <rPr>
            <sz val="8"/>
            <color indexed="81"/>
            <rFont val="Tahoma"/>
            <family val="2"/>
          </rPr>
          <t xml:space="preserve">
</t>
        </r>
      </text>
    </comment>
    <comment ref="F6" authorId="0" shapeId="0" xr:uid="{00000000-0006-0000-0100-000005000000}">
      <text>
        <r>
          <rPr>
            <b/>
            <sz val="8"/>
            <color indexed="81"/>
            <rFont val="Tahoma"/>
            <family val="2"/>
          </rPr>
          <t>See "unit" definitions at the bottom of this worksheet.</t>
        </r>
        <r>
          <rPr>
            <sz val="8"/>
            <color indexed="81"/>
            <rFont val="Tahoma"/>
            <family val="2"/>
          </rPr>
          <t xml:space="preserve">
</t>
        </r>
      </text>
    </comment>
    <comment ref="P6" authorId="0" shapeId="0" xr:uid="{00000000-0006-0000-0100-000006000000}">
      <text>
        <r>
          <rPr>
            <b/>
            <sz val="8"/>
            <color indexed="81"/>
            <rFont val="Tahoma"/>
            <family val="2"/>
          </rPr>
          <t>See "unit" definitions at the bottom of this worksheet.</t>
        </r>
        <r>
          <rPr>
            <sz val="8"/>
            <color indexed="81"/>
            <rFont val="Tahoma"/>
            <family val="2"/>
          </rPr>
          <t xml:space="preserve">
</t>
        </r>
      </text>
    </comment>
    <comment ref="I7" authorId="1" shapeId="0" xr:uid="{00000000-0006-0000-0100-000007000000}">
      <text>
        <r>
          <rPr>
            <b/>
            <sz val="14"/>
            <color indexed="81"/>
            <rFont val="Tahoma"/>
            <family val="2"/>
          </rPr>
          <t>Note:</t>
        </r>
        <r>
          <rPr>
            <sz val="14"/>
            <color indexed="81"/>
            <rFont val="Tahoma"/>
            <family val="2"/>
          </rPr>
          <t xml:space="preserve">
This is the aggregate nameplate rating for the entire generating facility.
Input must be greater than zero.
This value will be site specific but reasonable inputs are likely to fall in the range of 100-1,000 kW
</t>
        </r>
      </text>
    </comment>
    <comment ref="S7" authorId="0" shapeId="0" xr:uid="{00000000-0006-0000-0100-000008000000}">
      <text>
        <r>
          <rPr>
            <b/>
            <sz val="14"/>
            <color indexed="81"/>
            <rFont val="Tahoma"/>
            <family val="2"/>
          </rPr>
          <t>NOTE:</t>
        </r>
        <r>
          <rPr>
            <sz val="14"/>
            <color indexed="81"/>
            <rFont val="Tahoma"/>
            <family val="2"/>
          </rPr>
          <t xml:space="preserve">
A tipping fee (also called a gate fee) is the charge levied on a given quantity of waste received at a waste processing facility.
In the case of a landfill it is generally levied to offset the cost of opening, maintaining and eventually closing the site.
In this case, the tipping fee is paid to the owner/operator of the anaerobic digestor, which acts as an alternative means of waste disposal for organic materials.
The fee can be charged per load, per ton, or per item depending on the source and type of the waste.  In this case, tipping fees are assumed charged per ton.
This value will be site specific.</t>
        </r>
      </text>
    </comment>
    <comment ref="I8" authorId="0" shapeId="0" xr:uid="{00000000-0006-0000-0100-000009000000}">
      <text>
        <r>
          <rPr>
            <b/>
            <sz val="14"/>
            <color indexed="81"/>
            <rFont val="Tahoma"/>
            <family val="2"/>
          </rPr>
          <t>NOTE:</t>
        </r>
        <r>
          <rPr>
            <sz val="14"/>
            <color indexed="81"/>
            <rFont val="Tahoma"/>
            <family val="2"/>
          </rPr>
          <t xml:space="preserve">
This represents the generator's daily consumption of digester gas.  </t>
        </r>
      </text>
    </comment>
    <comment ref="S8" authorId="0" shapeId="0" xr:uid="{00000000-0006-0000-0100-00000A000000}">
      <text>
        <r>
          <rPr>
            <b/>
            <sz val="14"/>
            <color indexed="81"/>
            <rFont val="Tahoma"/>
            <family val="2"/>
          </rPr>
          <t>NOTE:</t>
        </r>
        <r>
          <rPr>
            <sz val="14"/>
            <color indexed="81"/>
            <rFont val="Tahoma"/>
            <family val="2"/>
          </rPr>
          <t xml:space="preserve">
Tons of material recevied each year which are subject to the corresponding tipping fee.
This value will be site specific.</t>
        </r>
      </text>
    </comment>
    <comment ref="I9" authorId="0" shapeId="0" xr:uid="{00000000-0006-0000-0100-00000B000000}">
      <text>
        <r>
          <rPr>
            <b/>
            <sz val="14"/>
            <color indexed="81"/>
            <rFont val="Tahoma"/>
            <family val="2"/>
          </rPr>
          <t>NOTE:</t>
        </r>
        <r>
          <rPr>
            <sz val="14"/>
            <color indexed="81"/>
            <rFont val="Tahoma"/>
            <family val="2"/>
          </rPr>
          <t xml:space="preserve">
This is the daily value multiplied by 365.</t>
        </r>
      </text>
    </comment>
    <comment ref="S9" authorId="0" shapeId="0" xr:uid="{00000000-0006-0000-0100-00000C000000}">
      <text>
        <r>
          <rPr>
            <b/>
            <sz val="14"/>
            <color indexed="81"/>
            <rFont val="Tahoma"/>
            <family val="2"/>
          </rPr>
          <t>NOTE:</t>
        </r>
        <r>
          <rPr>
            <sz val="14"/>
            <color indexed="81"/>
            <rFont val="Tahoma"/>
            <family val="2"/>
          </rPr>
          <t xml:space="preserve">
A tipping fee (also called a gate fee) is the charge levied on a given quantity of waste received at a waste processing facility.
In the case of a landfill it is generally levied to offset the cost of opening, maintaining and eventually closing the site.
In this case, the tipping fee is paid to the owner/operator of the anaerobic digestor, which acts as an alternative means of waste disposal for organic materials.
The fee can be charged per load, per ton, or per item depending on the source and type of the waste.  In this case, tipping fees are assumed charged per ton.</t>
        </r>
      </text>
    </comment>
    <comment ref="I10" authorId="0" shapeId="0" xr:uid="{00000000-0006-0000-0100-00000D000000}">
      <text>
        <r>
          <rPr>
            <b/>
            <sz val="14"/>
            <color indexed="81"/>
            <rFont val="Tahoma"/>
            <family val="2"/>
          </rPr>
          <t>NOTE:</t>
        </r>
        <r>
          <rPr>
            <sz val="14"/>
            <color indexed="81"/>
            <rFont val="Tahoma"/>
            <family val="2"/>
          </rPr>
          <t xml:space="preserve">
The energy content in biogas varies based on methane content.  An input of 600 BTU per cubic foot assumes a 60% methane content
This value will be site specific but reasonable inputs are likely to fall in the range of 450-650 BTU/cubic foot</t>
        </r>
      </text>
    </comment>
    <comment ref="S10" authorId="0" shapeId="0" xr:uid="{00000000-0006-0000-0100-00000E000000}">
      <text>
        <r>
          <rPr>
            <b/>
            <sz val="14"/>
            <color indexed="81"/>
            <rFont val="Tahoma"/>
            <family val="2"/>
          </rPr>
          <t>NOTE:</t>
        </r>
        <r>
          <rPr>
            <sz val="14"/>
            <color indexed="81"/>
            <rFont val="Tahoma"/>
            <family val="2"/>
          </rPr>
          <t xml:space="preserve">
Tons of material recevied each year which are subject to the corresponding tipping fee.</t>
        </r>
      </text>
    </comment>
    <comment ref="I11" authorId="0" shapeId="0" xr:uid="{00000000-0006-0000-0100-00000F000000}">
      <text>
        <r>
          <rPr>
            <b/>
            <sz val="14"/>
            <color indexed="81"/>
            <rFont val="Tahoma"/>
            <family val="2"/>
          </rPr>
          <t>NOTE:</t>
        </r>
        <r>
          <rPr>
            <sz val="14"/>
            <color indexed="81"/>
            <rFont val="Tahoma"/>
            <family val="2"/>
          </rPr>
          <t xml:space="preserve">
Energy content per year, based on gas consumption and methane concentration.</t>
        </r>
      </text>
    </comment>
    <comment ref="S11" authorId="0" shapeId="0" xr:uid="{00000000-0006-0000-0100-000010000000}">
      <text>
        <r>
          <rPr>
            <b/>
            <sz val="14"/>
            <color indexed="81"/>
            <rFont val="Tahoma"/>
            <family val="2"/>
          </rPr>
          <t>NOTE:</t>
        </r>
        <r>
          <rPr>
            <sz val="14"/>
            <color indexed="81"/>
            <rFont val="Tahoma"/>
            <family val="2"/>
          </rPr>
          <t xml:space="preserve">
A tipping fee (also called a gate fee) is the charge levied on a given quantity of waste received at a waste processing facility.
In the case of a landfill it is generally levied to offset the cost of opening, maintaining and eventually closing the site.
In this case, the tipping fee is paid to the owner/operator of the anaerobic digestor, which acts as an alternative means of waste disposal for organic materials.
The fee can be charged per load, per ton, or per item depending on the source and type of the waste.  In this case, tipping fees are assumed charged per ton.</t>
        </r>
      </text>
    </comment>
    <comment ref="I12" authorId="0" shapeId="0" xr:uid="{00000000-0006-0000-0100-000011000000}">
      <text>
        <r>
          <rPr>
            <b/>
            <sz val="14"/>
            <color indexed="81"/>
            <rFont val="Tahoma"/>
            <family val="2"/>
          </rPr>
          <t>NOTE:</t>
        </r>
        <r>
          <rPr>
            <sz val="14"/>
            <color indexed="81"/>
            <rFont val="Tahoma"/>
            <family val="2"/>
          </rPr>
          <t xml:space="preserve">
Engines are not 100% efficient.  This input represents the efficiency with which the engine converts fuel to electricity. 
See the Waste Heat inputs to the right for taking the additional useable heat and potential revenue into account.
This value will be site specific but reasonable inputs are likely to fall in the range of 30-42%</t>
        </r>
      </text>
    </comment>
    <comment ref="S12" authorId="0" shapeId="0" xr:uid="{00000000-0006-0000-0100-000012000000}">
      <text>
        <r>
          <rPr>
            <b/>
            <sz val="14"/>
            <color indexed="81"/>
            <rFont val="Tahoma"/>
            <family val="2"/>
          </rPr>
          <t>NOTE:</t>
        </r>
        <r>
          <rPr>
            <sz val="14"/>
            <color indexed="81"/>
            <rFont val="Tahoma"/>
            <family val="2"/>
          </rPr>
          <t xml:space="preserve">
Tons of material recevied each year which are subject to the corresponding tipping fee.</t>
        </r>
      </text>
    </comment>
    <comment ref="I13" authorId="0" shapeId="0" xr:uid="{00000000-0006-0000-0100-000013000000}">
      <text>
        <r>
          <rPr>
            <b/>
            <sz val="14"/>
            <color indexed="81"/>
            <rFont val="Tahoma"/>
            <family val="2"/>
          </rPr>
          <t>NOTE:</t>
        </r>
        <r>
          <rPr>
            <sz val="14"/>
            <color indexed="81"/>
            <rFont val="Tahoma"/>
            <family val="2"/>
          </rPr>
          <t xml:space="preserve">
Heat rate is a measurement used to represent generator efficiency.  Heat rate is typically expressed as the number of BTUs of heat required to produce one kWh of electricity.</t>
        </r>
      </text>
    </comment>
    <comment ref="S13" authorId="1" shapeId="0" xr:uid="{00000000-0006-0000-0100-000014000000}">
      <text>
        <r>
          <rPr>
            <b/>
            <sz val="14"/>
            <color indexed="81"/>
            <rFont val="Tahoma"/>
            <family val="2"/>
          </rPr>
          <t>Note:</t>
        </r>
        <r>
          <rPr>
            <sz val="14"/>
            <color indexed="81"/>
            <rFont val="Tahoma"/>
            <family val="2"/>
          </rPr>
          <t xml:space="preserve">
Digestate is the solid material remaining after the anaerobic digestion of a biodegradable feedstock.
Depending on the characteristics of the plant, the disposition of this material can either become an additional expense or source of revenue.
If digestate is an expense for the subject plant, then zero should be enterred here.
This input is expressed in $/gallon.
If you price digestate in $/ton, the model will accommodate that as long as the cell located two rows below this one is  entered in tons per year.
Input cannot be less than zero.
This value will be site specific.
</t>
        </r>
      </text>
    </comment>
    <comment ref="I14" authorId="0" shapeId="0" xr:uid="{00000000-0006-0000-0100-000015000000}">
      <text>
        <r>
          <rPr>
            <b/>
            <sz val="14"/>
            <color indexed="81"/>
            <rFont val="Tahoma"/>
            <family val="2"/>
          </rPr>
          <t>NOTE:</t>
        </r>
        <r>
          <rPr>
            <sz val="14"/>
            <color indexed="81"/>
            <rFont val="Tahoma"/>
            <family val="2"/>
          </rPr>
          <t xml:space="preserve">
The 'availability factor' represents the percentage of annual hours in which the generator is operational and available to deliver electricity to the gris (or on-site host). 
This value will be site specific but reasonable inputs are likely to fall in the range of 85-95%</t>
        </r>
      </text>
    </comment>
    <comment ref="S14" authorId="0" shapeId="0" xr:uid="{00000000-0006-0000-0100-000016000000}">
      <text>
        <r>
          <rPr>
            <b/>
            <sz val="14"/>
            <color indexed="81"/>
            <rFont val="Tahoma"/>
            <family val="2"/>
          </rPr>
          <t xml:space="preserve">Note:
</t>
        </r>
        <r>
          <rPr>
            <sz val="14"/>
            <color indexed="81"/>
            <rFont val="Tahoma"/>
            <family val="2"/>
          </rPr>
          <t xml:space="preserve">This cell provides the inflation rate for the remainder of the project's useful life.
Input must be greater than zero.
</t>
        </r>
      </text>
    </comment>
    <comment ref="I15" authorId="0" shapeId="0" xr:uid="{00000000-0006-0000-0100-000017000000}">
      <text>
        <r>
          <rPr>
            <b/>
            <sz val="14"/>
            <color indexed="81"/>
            <rFont val="Tahoma"/>
            <family val="2"/>
          </rPr>
          <t>NOTE:</t>
        </r>
        <r>
          <rPr>
            <sz val="14"/>
            <color indexed="81"/>
            <rFont val="Tahoma"/>
            <family val="2"/>
          </rPr>
          <t xml:space="preserve">
Station service is the electricity used in the operation of the power plant itself -- and is therefore subtracted from total production in order to calculate electricity available for sale, whether it be to the grid or to an on-site host.
Station service is also referred to as parasitic load.
This value will be site specific but reasonable inputs are likely to fall in the range of 3-17%</t>
        </r>
      </text>
    </comment>
    <comment ref="S15" authorId="1" shapeId="0" xr:uid="{00000000-0006-0000-0100-000018000000}">
      <text>
        <r>
          <rPr>
            <b/>
            <sz val="14"/>
            <color indexed="81"/>
            <rFont val="Tahoma"/>
            <family val="2"/>
          </rPr>
          <t>Note:</t>
        </r>
        <r>
          <rPr>
            <sz val="14"/>
            <color indexed="81"/>
            <rFont val="Tahoma"/>
            <family val="2"/>
          </rPr>
          <t xml:space="preserve">
Quantity of digestate to be disposed of - measured in gallons per year.
If you measure digestate in tons per year, the model will accommodate that as long as the cell located two rows above this one is entered in $/ton.
Input cannot be less than zero.
This value will be site specific.
</t>
        </r>
      </text>
    </comment>
    <comment ref="I16" authorId="1" shapeId="0" xr:uid="{00000000-0006-0000-0100-000019000000}">
      <text>
        <r>
          <rPr>
            <b/>
            <sz val="14"/>
            <color indexed="81"/>
            <rFont val="Tahoma"/>
            <family val="2"/>
          </rPr>
          <t>Note:</t>
        </r>
        <r>
          <rPr>
            <sz val="14"/>
            <color indexed="81"/>
            <rFont val="Tahoma"/>
            <family val="2"/>
          </rPr>
          <t xml:space="preserve">
This is a calculation, based on the system size and capacity factor provided above. 
</t>
        </r>
      </text>
    </comment>
    <comment ref="S16" authorId="0" shapeId="0" xr:uid="{00000000-0006-0000-0100-00001A000000}">
      <text>
        <r>
          <rPr>
            <b/>
            <sz val="14"/>
            <color indexed="81"/>
            <rFont val="Tahoma"/>
            <family val="2"/>
          </rPr>
          <t>NOTE:</t>
        </r>
        <r>
          <rPr>
            <sz val="14"/>
            <color indexed="81"/>
            <rFont val="Tahoma"/>
            <family val="2"/>
          </rPr>
          <t xml:space="preserve">
Heat exchangers are not 100% efficient.  This input represents the efficiency with which waste heat is converted into a usable format. 
This value will be site specific.</t>
        </r>
      </text>
    </comment>
    <comment ref="I17" authorId="1" shapeId="0" xr:uid="{00000000-0006-0000-0100-00001B000000}">
      <text>
        <r>
          <rPr>
            <b/>
            <sz val="14"/>
            <color indexed="81"/>
            <rFont val="Tahoma"/>
            <family val="2"/>
          </rPr>
          <t>Note:</t>
        </r>
        <r>
          <rPr>
            <sz val="14"/>
            <color indexed="81"/>
            <rFont val="Tahoma"/>
            <family val="2"/>
          </rPr>
          <t xml:space="preserve">
The natural aging of the mechanical components of a wind turbine generator may lead to a drop in turbine availability (or efficiency), and therefore production, over time.  
This input allows the user to model the potential for such degradation, which may be between 0% and 2% per year.
</t>
        </r>
        <r>
          <rPr>
            <b/>
            <sz val="14"/>
            <color indexed="81"/>
            <rFont val="Tahoma"/>
            <family val="2"/>
          </rPr>
          <t>If the modeled "Net Capacity Factor" is intented to take long-term average availability into account, then the user may wish to enter 0% in the Annual Production Degradation field.</t>
        </r>
        <r>
          <rPr>
            <sz val="14"/>
            <color indexed="81"/>
            <rFont val="Tahoma"/>
            <family val="2"/>
          </rPr>
          <t xml:space="preserve">
Input must be =&gt; 0%.
This value will be site specific but reasonable inputs are likely to fall in the range of 0-3%</t>
        </r>
      </text>
    </comment>
    <comment ref="S17" authorId="0" shapeId="0" xr:uid="{00000000-0006-0000-0100-00001C000000}">
      <text>
        <r>
          <rPr>
            <b/>
            <sz val="14"/>
            <color indexed="81"/>
            <rFont val="Tahoma"/>
            <family val="2"/>
          </rPr>
          <t>NOTE:</t>
        </r>
        <r>
          <rPr>
            <sz val="14"/>
            <color indexed="81"/>
            <rFont val="Tahoma"/>
            <family val="2"/>
          </rPr>
          <t xml:space="preserve">
This is the waste heat available for sale, and is calculated by first subtracting the BTUs used to generate 1 kWh from the total heat content required by the generator (it's heat rate) to produce that kWh, and then multiplying by the assumed heat capture efficiency.
This value will be site specific.</t>
        </r>
      </text>
    </comment>
    <comment ref="I18" authorId="1" shapeId="0" xr:uid="{00000000-0006-0000-0100-00001D000000}">
      <text>
        <r>
          <rPr>
            <b/>
            <sz val="14"/>
            <color indexed="81"/>
            <rFont val="Tahoma"/>
            <family val="2"/>
          </rPr>
          <t xml:space="preserve">Note:
</t>
        </r>
        <r>
          <rPr>
            <sz val="14"/>
            <color indexed="81"/>
            <rFont val="Tahoma"/>
            <family val="2"/>
          </rPr>
          <t>The Project Useful Life is the number of years that the project is expected to be fully operational, reliably delivering electricity to the grid, and generating revenue. This concept is different from the FIT Contract Length, which is administratively determined by policymakers. These two values may be the same if a FIT contract is offered for the project's entire expected useful life. This approach is likely to generate the lowest tariff rate, while successfully attracting investors to renewable energy projects.  
The CREST model is built for a maximum Project Useful Life of 30 years.
Input must be greater than 0 and less than or equal to 30.
This value will be site specific but reasonable inputs are likely to fall in the range of 10-30 years</t>
        </r>
      </text>
    </comment>
    <comment ref="S18" authorId="0" shapeId="0" xr:uid="{00000000-0006-0000-0100-00001E000000}">
      <text>
        <r>
          <rPr>
            <b/>
            <sz val="14"/>
            <color indexed="81"/>
            <rFont val="Tahoma"/>
            <family val="2"/>
          </rPr>
          <t>NOTE:</t>
        </r>
        <r>
          <rPr>
            <sz val="14"/>
            <color indexed="81"/>
            <rFont val="Tahoma"/>
            <family val="2"/>
          </rPr>
          <t xml:space="preserve">
The price (or market value due to avoided cost) of heat sold (or offsetting retail purchases).
This value will be site specific.</t>
        </r>
      </text>
    </comment>
    <comment ref="S19" authorId="0" shapeId="0" xr:uid="{00000000-0006-0000-0100-00001F000000}">
      <text>
        <r>
          <rPr>
            <b/>
            <sz val="14"/>
            <color indexed="81"/>
            <rFont val="Tahoma"/>
            <family val="2"/>
          </rPr>
          <t xml:space="preserve">Note:
</t>
        </r>
        <r>
          <rPr>
            <sz val="14"/>
            <color indexed="81"/>
            <rFont val="Tahoma"/>
            <family val="2"/>
          </rPr>
          <t xml:space="preserve">This cell provides the inflation rate for the remainder of the project's useful life.
Input must be greater than zero.
This value will be site specific.
</t>
        </r>
      </text>
    </comment>
    <comment ref="F20" authorId="0" shapeId="0" xr:uid="{00000000-0006-0000-0100-000020000000}">
      <text>
        <r>
          <rPr>
            <b/>
            <sz val="8"/>
            <color indexed="81"/>
            <rFont val="Tahoma"/>
            <family val="2"/>
          </rPr>
          <t>See "unit" definitions at the bottom of this worksheet.</t>
        </r>
        <r>
          <rPr>
            <sz val="8"/>
            <color indexed="81"/>
            <rFont val="Tahoma"/>
            <family val="2"/>
          </rPr>
          <t xml:space="preserve">
</t>
        </r>
      </text>
    </comment>
    <comment ref="I21" authorId="1" shapeId="0" xr:uid="{00000000-0006-0000-0100-000021000000}">
      <text>
        <r>
          <rPr>
            <b/>
            <sz val="14"/>
            <color indexed="81"/>
            <rFont val="Tahoma"/>
            <family val="2"/>
          </rPr>
          <t>Note:</t>
        </r>
        <r>
          <rPr>
            <sz val="14"/>
            <color indexed="81"/>
            <rFont val="Tahoma"/>
            <family val="2"/>
          </rPr>
          <t xml:space="preserve">
This model alllows the user to input system cost at 1 of 3 levels of detail: "simple", "intermediate" or "complex." Simple offers a single input in $/kW, Intermediate offers five cost subcategories in total dollars, and Complex offers line-by-line project costing with user-defined categories and costs per line-item.  
Select your preferred method and use the cells below to enter your cost information. If you choose the "Complex" option, you will need to follow the link below to the "Complex Capital Costs" tab.</t>
        </r>
      </text>
    </comment>
    <comment ref="P21" authorId="0" shapeId="0" xr:uid="{00000000-0006-0000-0100-000022000000}">
      <text>
        <r>
          <rPr>
            <b/>
            <sz val="8"/>
            <color indexed="81"/>
            <rFont val="Tahoma"/>
            <family val="2"/>
          </rPr>
          <t>See "unit" definitions at the bottom of this worksheet.</t>
        </r>
        <r>
          <rPr>
            <sz val="8"/>
            <color indexed="81"/>
            <rFont val="Tahoma"/>
            <family val="2"/>
          </rPr>
          <t xml:space="preserve">
</t>
        </r>
      </text>
    </comment>
    <comment ref="I22" authorId="1" shapeId="0" xr:uid="{00000000-0006-0000-0100-000023000000}">
      <text>
        <r>
          <rPr>
            <b/>
            <sz val="14"/>
            <color indexed="81"/>
            <rFont val="Tahoma"/>
            <family val="2"/>
          </rPr>
          <t>Note:</t>
        </r>
        <r>
          <rPr>
            <sz val="14"/>
            <color indexed="81"/>
            <rFont val="Tahoma"/>
            <family val="2"/>
          </rPr>
          <t xml:space="preserve">
When "Simple" is selected in the Cost Level of Detail cell, this "Total Installed Cost" row represents the total expected all-in project cost, which should include all hardware, balance of plant, interconnection, design, construction, permitting, development (including developer fee), interest during construction and financing costs. This figure should not account for any tax incentives, grants, or other cash incentives, each of which will be addressed elsewhere in the model. This figure should, however, reflect any applicable sales tax or exemptions thereof.
Input must be greater than zero.
</t>
        </r>
      </text>
    </comment>
    <comment ref="S22" authorId="1" shapeId="0" xr:uid="{00000000-0006-0000-0100-000024000000}">
      <text>
        <r>
          <rPr>
            <b/>
            <sz val="14"/>
            <color indexed="81"/>
            <rFont val="Tahoma"/>
            <family val="2"/>
          </rPr>
          <t xml:space="preserve">Note:
</t>
        </r>
        <r>
          <rPr>
            <sz val="14"/>
            <color indexed="81"/>
            <rFont val="Tahoma"/>
            <family val="2"/>
          </rPr>
          <t xml:space="preserve">The FIT contract length is the number of years for which the rate specified by this model is available. This term is established by policymakers and must be less than or equal to the project's useful life.  
The contract duration is also different than the debt tenor (if applicable), which is specified in the Permanent Financing section below.
</t>
        </r>
      </text>
    </comment>
    <comment ref="I23" authorId="1" shapeId="0" xr:uid="{00000000-0006-0000-0100-000025000000}">
      <text>
        <r>
          <rPr>
            <b/>
            <sz val="14"/>
            <color indexed="81"/>
            <rFont val="Tahoma"/>
            <family val="2"/>
          </rPr>
          <t>Note:</t>
        </r>
        <r>
          <rPr>
            <sz val="14"/>
            <color indexed="81"/>
            <rFont val="Tahoma"/>
            <family val="2"/>
          </rPr>
          <t xml:space="preserve">
"Generation Equipment" should include hardware such as the generator, blades and tower.  
Caution: the model assumes that if "Intermediate" is selected as the level of detail section, the "Generation Equipment" row must have a value greater than zero. 
</t>
        </r>
      </text>
    </comment>
    <comment ref="S23" authorId="1" shapeId="0" xr:uid="{00000000-0006-0000-0100-000026000000}">
      <text>
        <r>
          <rPr>
            <b/>
            <sz val="14"/>
            <color indexed="81"/>
            <rFont val="Tahoma"/>
            <family val="2"/>
          </rPr>
          <t xml:space="preserve">Note:
</t>
        </r>
        <r>
          <rPr>
            <sz val="14"/>
            <color indexed="81"/>
            <rFont val="Tahoma"/>
            <family val="2"/>
          </rPr>
          <t xml:space="preserve">This is the portion (%) of the tariff which is subject to annual escalation.  
Program administrators may determine that some or all of the tariff rate should be escalated to reflect the uncertainty associated with the future cost of owning and operating an electricity generating facility. This input is separate from the inflation assumed to apply to certain O&amp;M expenses, which is provided as an input in the O&amp;M section below.
Input must be between 0% and 100%.
</t>
        </r>
      </text>
    </comment>
    <comment ref="I24" authorId="1" shapeId="0" xr:uid="{00000000-0006-0000-0100-000027000000}">
      <text>
        <r>
          <rPr>
            <b/>
            <sz val="14"/>
            <color indexed="81"/>
            <rFont val="Tahoma"/>
            <family val="2"/>
          </rPr>
          <t>Note:</t>
        </r>
        <r>
          <rPr>
            <sz val="14"/>
            <color indexed="81"/>
            <rFont val="Tahoma"/>
            <family val="2"/>
          </rPr>
          <t xml:space="preserve">
Balance of Plant (also known as Balance of System) represents all infrastructure, site prep and labor supporting the installation of the generation equipment. BOP costs include foundations, mounting devices, other hardware, and labor not already accounted for in the "Generation Equipment" row.
Input cannot be less than zero.
</t>
        </r>
      </text>
    </comment>
    <comment ref="S24" authorId="1" shapeId="0" xr:uid="{00000000-0006-0000-0100-000028000000}">
      <text>
        <r>
          <rPr>
            <b/>
            <sz val="14"/>
            <color indexed="81"/>
            <rFont val="Tahoma"/>
            <family val="2"/>
          </rPr>
          <t xml:space="preserve">Note:
</t>
        </r>
        <r>
          <rPr>
            <sz val="14"/>
            <color indexed="81"/>
            <rFont val="Tahoma"/>
            <family val="2"/>
          </rPr>
          <t xml:space="preserve">To calculate a </t>
        </r>
        <r>
          <rPr>
            <b/>
            <sz val="14"/>
            <color indexed="81"/>
            <rFont val="Tahoma"/>
            <family val="2"/>
          </rPr>
          <t>nominal levelized tariff rate</t>
        </r>
        <r>
          <rPr>
            <sz val="14"/>
            <color indexed="81"/>
            <rFont val="Tahoma"/>
            <family val="2"/>
          </rPr>
          <t xml:space="preserve">, the "feed-in tariff escalation rate" field should be </t>
        </r>
        <r>
          <rPr>
            <b/>
            <sz val="14"/>
            <color indexed="81"/>
            <rFont val="Tahoma"/>
            <family val="2"/>
          </rPr>
          <t>set to zero</t>
        </r>
        <r>
          <rPr>
            <sz val="14"/>
            <color indexed="81"/>
            <rFont val="Tahoma"/>
            <family val="2"/>
          </rPr>
          <t>.</t>
        </r>
        <r>
          <rPr>
            <b/>
            <sz val="14"/>
            <color indexed="81"/>
            <rFont val="Tahoma"/>
            <family val="2"/>
          </rPr>
          <t xml:space="preserve">
</t>
        </r>
        <r>
          <rPr>
            <sz val="14"/>
            <color indexed="81"/>
            <rFont val="Tahoma"/>
            <family val="2"/>
          </rPr>
          <t xml:space="preserve">Where applied, tariff rate escalation is intended to serve as a risk mitigating tool, at least partially protecting the project investor from the uncertainty associated with the future cost of owning and operating the renewable energy facility. The escalation rate can be used to assume a year over year increase in all, or a portion, of the per unit payment provided to eligible generators. This concept is separate from inflationary adjustments to future operating cost assumptions -- which are input below.
This rate is applied annually.  Note that in this model, calendar years and tariff years are aligned.
</t>
        </r>
        <r>
          <rPr>
            <b/>
            <sz val="14"/>
            <color indexed="81"/>
            <rFont val="Tahoma"/>
            <family val="2"/>
          </rPr>
          <t>Caution:</t>
        </r>
        <r>
          <rPr>
            <sz val="14"/>
            <color indexed="81"/>
            <rFont val="Tahoma"/>
            <family val="2"/>
          </rPr>
          <t xml:space="preserve"> A value must be entered into this cell in order for the model to function properly. The input can be positive or negative (if the FIT value decreases over time), and a typical value may fall between 0% and 5%.  
</t>
        </r>
      </text>
    </comment>
    <comment ref="I25" authorId="1" shapeId="0" xr:uid="{00000000-0006-0000-0100-000029000000}">
      <text>
        <r>
          <rPr>
            <b/>
            <sz val="14"/>
            <color indexed="81"/>
            <rFont val="Tahoma"/>
            <family val="2"/>
          </rPr>
          <t>Note:</t>
        </r>
        <r>
          <rPr>
            <sz val="14"/>
            <color indexed="81"/>
            <rFont val="Tahoma"/>
            <family val="2"/>
          </rPr>
          <t xml:space="preserve">
The "Interconnection" row should account for all project costs relating to connecting to the grid, such as the construction of transmission lines, permitting costs with the utility, and start-up costs. This category will also include the cost of a new substation, if necessary.
Regulators wishing to explore the potential that interconnection costs may be recovered from ratepayers separately can elect to enter zeros in this cost category whenever "Intermediate" or "Complex" is selected.
Input cannot be less than zero.
</t>
        </r>
      </text>
    </comment>
    <comment ref="I26" authorId="1" shapeId="0" xr:uid="{00000000-0006-0000-0100-00002A000000}">
      <text>
        <r>
          <rPr>
            <b/>
            <sz val="14"/>
            <color indexed="81"/>
            <rFont val="Tahoma"/>
            <family val="2"/>
          </rPr>
          <t>Note:</t>
        </r>
        <r>
          <rPr>
            <sz val="8"/>
            <color indexed="81"/>
            <rFont val="Tahoma"/>
            <family val="2"/>
          </rPr>
          <t xml:space="preserve">
</t>
        </r>
        <r>
          <rPr>
            <sz val="14"/>
            <color indexed="81"/>
            <rFont val="Tahoma"/>
            <family val="2"/>
          </rPr>
          <t xml:space="preserve">The "Development Costs" row should include all costs relating to project management, studies, engineering, permitting, contingencies, success fees, and other soft costs not accounted for elsewhere in the "Intermediate" cost breakdown. 
Input cannot be less than zero.
</t>
        </r>
      </text>
    </comment>
    <comment ref="S26" authorId="1" shapeId="0" xr:uid="{00000000-0006-0000-0100-00002B000000}">
      <text>
        <r>
          <rPr>
            <b/>
            <sz val="14"/>
            <color indexed="81"/>
            <rFont val="Tahoma"/>
            <family val="2"/>
          </rPr>
          <t xml:space="preserve">Note:
</t>
        </r>
        <r>
          <rPr>
            <sz val="14"/>
            <color indexed="81"/>
            <rFont val="Tahoma"/>
            <family val="2"/>
          </rPr>
          <t>If the designated "FIT Contract Length" is less than the defined "Project Useful Life", then this grouping of inputs is used to calculate the project's market-based revenue during the period from FIT contract expiration to the end of the project's life.</t>
        </r>
        <r>
          <rPr>
            <b/>
            <sz val="14"/>
            <color indexed="81"/>
            <rFont val="Tahoma"/>
            <family val="2"/>
          </rPr>
          <t xml:space="preserve">
</t>
        </r>
        <r>
          <rPr>
            <sz val="14"/>
            <color indexed="81"/>
            <rFont val="Tahoma"/>
            <family val="2"/>
          </rPr>
          <t xml:space="preserve">
</t>
        </r>
      </text>
    </comment>
    <comment ref="I27" authorId="1" shapeId="0" xr:uid="{00000000-0006-0000-0100-00002C000000}">
      <text>
        <r>
          <rPr>
            <b/>
            <sz val="14"/>
            <color indexed="81"/>
            <rFont val="Tahoma"/>
            <family val="2"/>
          </rPr>
          <t>Note:</t>
        </r>
        <r>
          <rPr>
            <sz val="14"/>
            <color indexed="81"/>
            <rFont val="Tahoma"/>
            <family val="2"/>
          </rPr>
          <t xml:space="preserve">
The "Reserves &amp; Financing Costs" row accounts for all costs relating to financing, such as lender fees, closing costs, legal fees, interest during construction, due diligence costs, and any other relevant, financing relating costs. The model calculates this field by aggregating G22 through G25, G51, G54, G63, G66, Q57 and Q60.
</t>
        </r>
      </text>
    </comment>
    <comment ref="S27" authorId="1" shapeId="0" xr:uid="{00000000-0006-0000-0100-00002D000000}">
      <text>
        <r>
          <rPr>
            <b/>
            <sz val="14"/>
            <color indexed="81"/>
            <rFont val="Tahoma"/>
            <family val="2"/>
          </rPr>
          <t xml:space="preserve">Note:
</t>
        </r>
        <r>
          <rPr>
            <sz val="14"/>
            <color indexed="81"/>
            <rFont val="Tahoma"/>
            <family val="2"/>
          </rPr>
          <t>Selecting "Year One" forecasts the total market value of production based on an estimate of that value in the project's first year of commercial operation and a user-defined escalation rate.  
Selecting "Year-by-Year" enables the user to enter unique annual values for the period after the FIT expires and before the end of the project's useful life.</t>
        </r>
        <r>
          <rPr>
            <b/>
            <sz val="14"/>
            <color indexed="81"/>
            <rFont val="Tahoma"/>
            <family val="2"/>
          </rPr>
          <t xml:space="preserve">
</t>
        </r>
        <r>
          <rPr>
            <sz val="14"/>
            <color indexed="81"/>
            <rFont val="Tahoma"/>
            <family val="2"/>
          </rPr>
          <t xml:space="preserve">
</t>
        </r>
      </text>
    </comment>
    <comment ref="I28" authorId="1" shapeId="0" xr:uid="{00000000-0006-0000-0100-00002E000000}">
      <text>
        <r>
          <rPr>
            <b/>
            <sz val="14"/>
            <color indexed="81"/>
            <rFont val="Tahoma"/>
            <family val="2"/>
          </rPr>
          <t>Note:</t>
        </r>
        <r>
          <rPr>
            <sz val="14"/>
            <color indexed="81"/>
            <rFont val="Tahoma"/>
            <family val="2"/>
          </rPr>
          <t xml:space="preserve">
If you wish to enter your project costs under the "Complex" format, select Complex from the drop-down menu and use the link to the left to access additional worksheets which provide the opportunitiy to add significant, additional detail on project costs. Once complete, the model will roll up the detailed costs and populate this row with the resultant final project cost. </t>
        </r>
      </text>
    </comment>
    <comment ref="S28" authorId="1" shapeId="0" xr:uid="{00000000-0006-0000-0100-00002F000000}">
      <text>
        <r>
          <rPr>
            <b/>
            <sz val="14"/>
            <color indexed="81"/>
            <rFont val="Tahoma"/>
            <family val="2"/>
          </rPr>
          <t xml:space="preserve">Note:
</t>
        </r>
        <r>
          <rPr>
            <sz val="14"/>
            <color indexed="81"/>
            <rFont val="Tahoma"/>
            <family val="2"/>
          </rPr>
          <t xml:space="preserve">This is the </t>
        </r>
        <r>
          <rPr>
            <b/>
            <sz val="14"/>
            <color indexed="81"/>
            <rFont val="Tahoma"/>
            <family val="2"/>
          </rPr>
          <t>combined</t>
        </r>
        <r>
          <rPr>
            <sz val="14"/>
            <color indexed="81"/>
            <rFont val="Tahoma"/>
            <family val="2"/>
          </rPr>
          <t xml:space="preserve"> (or "bundled") market value of energy + capacity + Renewable Energy Credtis (RECs) in the same year in which the project's first enters commercial operation.
This input must be greater than zero.
</t>
        </r>
      </text>
    </comment>
    <comment ref="I29" authorId="1" shapeId="0" xr:uid="{00000000-0006-0000-0100-000030000000}">
      <text>
        <r>
          <rPr>
            <b/>
            <sz val="14"/>
            <color indexed="81"/>
            <rFont val="Tahoma"/>
            <family val="2"/>
          </rPr>
          <t>Note:</t>
        </r>
        <r>
          <rPr>
            <sz val="14"/>
            <color indexed="81"/>
            <rFont val="Tahoma"/>
            <family val="2"/>
          </rPr>
          <t xml:space="preserve">
The total system cost is a calculation, based on the level of detail selected and the assocated inputs.
</t>
        </r>
      </text>
    </comment>
    <comment ref="S29" authorId="1" shapeId="0" xr:uid="{00000000-0006-0000-0100-000031000000}">
      <text>
        <r>
          <rPr>
            <b/>
            <sz val="14"/>
            <color indexed="81"/>
            <rFont val="Tahoma"/>
            <family val="2"/>
          </rPr>
          <t xml:space="preserve">Note:
</t>
        </r>
        <r>
          <rPr>
            <sz val="14"/>
            <color indexed="81"/>
            <rFont val="Tahoma"/>
            <family val="2"/>
          </rPr>
          <t xml:space="preserve">When the "Year One" forecast methodology is selected, this is the user-defined escalation rate at which the market value of production is expected to change.
Input must be greater than zero.
</t>
        </r>
      </text>
    </comment>
    <comment ref="I30" authorId="1" shapeId="0" xr:uid="{00000000-0006-0000-0100-000032000000}">
      <text>
        <r>
          <rPr>
            <b/>
            <sz val="14"/>
            <color indexed="81"/>
            <rFont val="Tahoma"/>
            <family val="2"/>
          </rPr>
          <t>Note:</t>
        </r>
        <r>
          <rPr>
            <sz val="14"/>
            <color indexed="81"/>
            <rFont val="Tahoma"/>
            <family val="2"/>
          </rPr>
          <t xml:space="preserve">
Calculation based on the total system cost in the cell above and the system size reported. 
This value will be site specific but reasonable inputs are likely to fall in the range of $3,000-$12,000</t>
        </r>
        <r>
          <rPr>
            <sz val="8"/>
            <color indexed="81"/>
            <rFont val="Tahoma"/>
            <family val="2"/>
          </rPr>
          <t xml:space="preserve">
</t>
        </r>
      </text>
    </comment>
    <comment ref="S30" authorId="1" shapeId="0" xr:uid="{00000000-0006-0000-0100-000033000000}">
      <text>
        <r>
          <rPr>
            <b/>
            <sz val="14"/>
            <color indexed="81"/>
            <rFont val="Tahoma"/>
            <family val="2"/>
          </rPr>
          <t xml:space="preserve">Note:
</t>
        </r>
        <r>
          <rPr>
            <sz val="14"/>
            <color indexed="81"/>
            <rFont val="Tahoma"/>
            <family val="2"/>
          </rPr>
          <t xml:space="preserve">When "Year-by-Year" market value of production forecast is selected, this link brings the user to another worksheet on which unique annual values may be entered.
</t>
        </r>
      </text>
    </comment>
    <comment ref="F32" authorId="0" shapeId="0" xr:uid="{00000000-0006-0000-0100-000034000000}">
      <text>
        <r>
          <rPr>
            <b/>
            <sz val="8"/>
            <color indexed="81"/>
            <rFont val="Tahoma"/>
            <family val="2"/>
          </rPr>
          <t>See "unit" definitions at the bottom of this worksheet.</t>
        </r>
        <r>
          <rPr>
            <sz val="8"/>
            <color indexed="81"/>
            <rFont val="Tahoma"/>
            <family val="2"/>
          </rPr>
          <t xml:space="preserve">
</t>
        </r>
      </text>
    </comment>
    <comment ref="P32" authorId="0" shapeId="0" xr:uid="{00000000-0006-0000-0100-000035000000}">
      <text>
        <r>
          <rPr>
            <b/>
            <sz val="8"/>
            <color indexed="81"/>
            <rFont val="Tahoma"/>
            <family val="2"/>
          </rPr>
          <t>See "unit" definitions at the bottom of this worksheet.</t>
        </r>
        <r>
          <rPr>
            <sz val="8"/>
            <color indexed="81"/>
            <rFont val="Tahoma"/>
            <family val="2"/>
          </rPr>
          <t xml:space="preserve">
</t>
        </r>
      </text>
    </comment>
    <comment ref="I33" authorId="0" shapeId="0" xr:uid="{00000000-0006-0000-0100-000036000000}">
      <text>
        <r>
          <rPr>
            <b/>
            <sz val="14"/>
            <color indexed="81"/>
            <rFont val="Tahoma"/>
            <family val="2"/>
          </rPr>
          <t>Note:</t>
        </r>
        <r>
          <rPr>
            <sz val="14"/>
            <color indexed="81"/>
            <rFont val="Tahoma"/>
            <family val="2"/>
          </rPr>
          <t xml:space="preserve">
Select either "Simple" or "Intermediate" O&amp;M expense detail using the drop-down menu to the right.
</t>
        </r>
        <r>
          <rPr>
            <sz val="8"/>
            <color indexed="81"/>
            <rFont val="Tahoma"/>
            <family val="2"/>
          </rPr>
          <t xml:space="preserve">
</t>
        </r>
      </text>
    </comment>
    <comment ref="S33" authorId="0" shapeId="0" xr:uid="{00000000-0006-0000-0100-000037000000}">
      <text>
        <r>
          <rPr>
            <b/>
            <sz val="14"/>
            <color indexed="81"/>
            <rFont val="Tahoma"/>
            <family val="2"/>
          </rPr>
          <t xml:space="preserve">Note:
</t>
        </r>
        <r>
          <rPr>
            <sz val="14"/>
            <color indexed="81"/>
            <rFont val="Tahoma"/>
            <family val="2"/>
          </rPr>
          <t>This drop-down input cell allows the user to specify whether federal incentives are cost-based (e.g. an investment tax credit) or performance-based (e.g. a PTC). The magnitude and terms of these incentives are set in the cells below.
For more information, a useful resource for researching federal and state incentives online is:  
http://dsireusa.org/
*See bottom of introduction page for a list of links</t>
        </r>
      </text>
    </comment>
    <comment ref="I34" authorId="1" shapeId="0" xr:uid="{00000000-0006-0000-0100-000038000000}">
      <text>
        <r>
          <rPr>
            <b/>
            <sz val="14"/>
            <color indexed="81"/>
            <rFont val="Tahoma"/>
            <family val="2"/>
          </rPr>
          <t>Note:</t>
        </r>
        <r>
          <rPr>
            <sz val="14"/>
            <color indexed="81"/>
            <rFont val="Tahoma"/>
            <family val="2"/>
          </rPr>
          <t xml:space="preserve">
If "Simple" is selected in the cell above, then this input should reflect the </t>
        </r>
        <r>
          <rPr>
            <b/>
            <u/>
            <sz val="14"/>
            <color indexed="81"/>
            <rFont val="Tahoma"/>
            <family val="2"/>
          </rPr>
          <t>total</t>
        </r>
        <r>
          <rPr>
            <sz val="14"/>
            <color indexed="81"/>
            <rFont val="Tahoma"/>
            <family val="2"/>
          </rPr>
          <t xml:space="preserve"> expected </t>
        </r>
        <r>
          <rPr>
            <b/>
            <u/>
            <sz val="14"/>
            <color indexed="81"/>
            <rFont val="Tahoma"/>
            <family val="2"/>
          </rPr>
          <t>fixed</t>
        </r>
        <r>
          <rPr>
            <sz val="14"/>
            <color indexed="81"/>
            <rFont val="Tahoma"/>
            <family val="2"/>
          </rPr>
          <t xml:space="preserve"> cost of project operations and maintenance, in $/kW-yr.  This </t>
        </r>
        <r>
          <rPr>
            <u/>
            <sz val="14"/>
            <color indexed="81"/>
            <rFont val="Tahoma"/>
            <family val="2"/>
          </rPr>
          <t>includes</t>
        </r>
        <r>
          <rPr>
            <sz val="14"/>
            <color indexed="81"/>
            <rFont val="Tahoma"/>
            <family val="2"/>
          </rPr>
          <t xml:space="preserve"> the insurance, project management, property tax (or payment in lieu thereof), land lease, and royalty expenses which would have been broken out separately in the "Intermediate" case.  Other labor and spare parts should also be included in this estimate.
If the user has obtained O&amp;M expense estimates from a third-party, it is critical to understand which costs have been included.  If the user is not certain that all of the above-listed expenses are included in the fixed cost estimate, then the "Intermediate" approach should be used and these expenses should be entered separately.
If "Intermediate" is selected, then this input should reflect  the expected annual fixed O&amp;M cost before taking into account the additional listed expenses, which are entered below. 
In all cases, fixed O&amp;M would include - among others - the ongoing cost of obtaining daily, weekly or monthly production estimates based on weather and other factors.
Input value must be greater than zero. 
This value will be site specific but reasonable inputs are likely to fall in the range of $125-$300
</t>
        </r>
      </text>
    </comment>
    <comment ref="S34" authorId="1" shapeId="0" xr:uid="{00000000-0006-0000-0100-000039000000}">
      <text>
        <r>
          <rPr>
            <b/>
            <sz val="14"/>
            <color indexed="81"/>
            <rFont val="Tahoma"/>
            <family val="2"/>
          </rPr>
          <t xml:space="preserve">Note:
</t>
        </r>
        <r>
          <rPr>
            <sz val="14"/>
            <color indexed="81"/>
            <rFont val="Tahoma"/>
            <family val="2"/>
          </rPr>
          <t>Some renewable energy projects may be eligible to take advantage of Federal incentives such as the Investment Tax Credit or a cash payment from the Treasury Grant in lieu of the ITC (under Section 1603). 
The CREST model assumes that the ITC or Section 1603 cash grant, as applicable, flows to the project's equity provider in the first commercial operation year - rather than reducing the project's assumed initial installed cost.  The exception to this rule occurs when "carried forward" is selected in the Tax section.  In this case, net operating losses are rolled forward while the tax benefits are used internally by the project.
Information on eligibility for funding opportunities such as these is available online at:
http://dsireusa.org/incentives/incentive.cfm?Incentive_Code=US02F&amp;re=1&amp;ee=1
*See bottom of introduction page for a list of links</t>
        </r>
        <r>
          <rPr>
            <b/>
            <sz val="14"/>
            <color indexed="81"/>
            <rFont val="Tahoma"/>
            <family val="2"/>
          </rPr>
          <t xml:space="preserve">
</t>
        </r>
        <r>
          <rPr>
            <sz val="14"/>
            <color indexed="81"/>
            <rFont val="Tahoma"/>
            <family val="2"/>
          </rPr>
          <t xml:space="preserve">
</t>
        </r>
      </text>
    </comment>
    <comment ref="I35" authorId="1" shapeId="0" xr:uid="{00000000-0006-0000-0100-00003A000000}">
      <text>
        <r>
          <rPr>
            <b/>
            <sz val="14"/>
            <color indexed="81"/>
            <rFont val="Tahoma"/>
            <family val="2"/>
          </rPr>
          <t>Note:</t>
        </r>
        <r>
          <rPr>
            <sz val="14"/>
            <color indexed="81"/>
            <rFont val="Tahoma"/>
            <family val="2"/>
          </rPr>
          <t xml:space="preserve">
This cell provides the user with the option of accounting for O&amp;M expenses (such as labor and spare parts) which are more easily estimated and modeled on a variable, cents per kWh basis.  
If "Simple" is selected above, then this cell should also take into account variable costs, such as royalties, </t>
        </r>
        <r>
          <rPr>
            <b/>
            <u/>
            <sz val="14"/>
            <color indexed="81"/>
            <rFont val="Tahoma"/>
            <family val="2"/>
          </rPr>
          <t>if</t>
        </r>
        <r>
          <rPr>
            <sz val="14"/>
            <color indexed="81"/>
            <rFont val="Tahoma"/>
            <family val="2"/>
          </rPr>
          <t xml:space="preserve"> such annual expenses are not already accounted for in the fixed cost input above.
Input cannot be less than zero.
This value will be site specific but reasonable inputs are likely to fall in the range of $2.50-$5.00
</t>
        </r>
      </text>
    </comment>
    <comment ref="S35" authorId="0" shapeId="0" xr:uid="{00000000-0006-0000-0100-00003B000000}">
      <text>
        <r>
          <rPr>
            <b/>
            <sz val="14"/>
            <color indexed="81"/>
            <rFont val="Tahoma"/>
            <family val="2"/>
          </rPr>
          <t xml:space="preserve">NOTE:
</t>
        </r>
        <r>
          <rPr>
            <sz val="14"/>
            <color indexed="81"/>
            <rFont val="Tahoma"/>
            <family val="2"/>
          </rPr>
          <t xml:space="preserve">The maximum potential Investment Tax Credit (ITC) benefit is assumed to be 30% of those project costs which are depreciable on the 5-year MACRS schedule.  This 'eligible costs' assumption is purposefully simplified for this analysis.  Project costs depreciated on other bases may also be eligible for the ITC.  Developers should consult with tax counsel for project-specific depreciation and ITC treatment of each project cost.
</t>
        </r>
        <r>
          <rPr>
            <sz val="8"/>
            <color indexed="81"/>
            <rFont val="Tahoma"/>
            <family val="2"/>
          </rPr>
          <t xml:space="preserve">
</t>
        </r>
      </text>
    </comment>
    <comment ref="I36" authorId="0" shapeId="0" xr:uid="{00000000-0006-0000-0100-00003C000000}">
      <text>
        <r>
          <rPr>
            <b/>
            <sz val="14"/>
            <color indexed="81"/>
            <rFont val="Tahoma"/>
            <family val="2"/>
          </rPr>
          <t>Note:</t>
        </r>
        <r>
          <rPr>
            <sz val="14"/>
            <color indexed="81"/>
            <rFont val="Tahoma"/>
            <family val="2"/>
          </rPr>
          <t xml:space="preserve">
This inflation rate applies to both fixed and variable O&amp;M expense, insurance, and project management costs entered above, if applicable. 
The model allows the user to specify an inflation assumption for an "initial period" and a second inflation assumption "thereafter." These inputs can be used to account for inflation which might be fixed during an initial O&amp;M service contract, but are unknown thereafter.  The final year of the "initial period" is  user-defined (e.g. final year of an O&amp;M service contract). 
The purpose of this feature is also to recognize that inflationary trends may change over time, or that some projects may not expect inflation of O&amp;M expenses for the first several years, but may expect inflation thereafter.
This inflation rate does not apply to PILOT or Royalty costs. Input cannot be less than zero.
</t>
        </r>
      </text>
    </comment>
    <comment ref="I37" authorId="0" shapeId="0" xr:uid="{00000000-0006-0000-0100-00003D000000}">
      <text>
        <r>
          <rPr>
            <b/>
            <sz val="14"/>
            <color indexed="81"/>
            <rFont val="Tahoma"/>
            <family val="2"/>
          </rPr>
          <t xml:space="preserve">Note:
</t>
        </r>
        <r>
          <rPr>
            <sz val="14"/>
            <color indexed="81"/>
            <rFont val="Tahoma"/>
            <family val="2"/>
          </rPr>
          <t xml:space="preserve">This feature allows the user to assume that the rate at which expenses change over time is not constant. This cell provides the year in which the first inflation period ends.
Input cannot be less than zero.
</t>
        </r>
      </text>
    </comment>
    <comment ref="S37" authorId="0" shapeId="0" xr:uid="{00000000-0006-0000-0100-00003E000000}">
      <text>
        <r>
          <rPr>
            <b/>
            <sz val="14"/>
            <color indexed="81"/>
            <rFont val="Tahoma"/>
            <family val="2"/>
          </rPr>
          <t xml:space="preserve">Note:
</t>
        </r>
        <r>
          <rPr>
            <sz val="14"/>
            <color indexed="81"/>
            <rFont val="Tahoma"/>
            <family val="2"/>
          </rPr>
          <t xml:space="preserve">Calculates the dollar value of the Investment Tax Credit or Cash Grant, if applicable.
</t>
        </r>
      </text>
    </comment>
    <comment ref="I38" authorId="0" shapeId="0" xr:uid="{00000000-0006-0000-0100-00003F000000}">
      <text>
        <r>
          <rPr>
            <b/>
            <sz val="14"/>
            <color indexed="81"/>
            <rFont val="Tahoma"/>
            <family val="2"/>
          </rPr>
          <t xml:space="preserve">Note:
</t>
        </r>
        <r>
          <rPr>
            <sz val="14"/>
            <color indexed="81"/>
            <rFont val="Tahoma"/>
            <family val="2"/>
          </rPr>
          <t xml:space="preserve">This cell provides the inflation rate for the remainder of the project's useful life.
Input must be greater than zero.
</t>
        </r>
      </text>
    </comment>
    <comment ref="S38" authorId="0" shapeId="0" xr:uid="{00000000-0006-0000-0100-000040000000}">
      <text>
        <r>
          <rPr>
            <b/>
            <sz val="14"/>
            <color indexed="81"/>
            <rFont val="Tahoma"/>
            <family val="2"/>
          </rPr>
          <t xml:space="preserve">Note: </t>
        </r>
        <r>
          <rPr>
            <sz val="14"/>
            <color indexed="81"/>
            <rFont val="Tahoma"/>
            <family val="2"/>
          </rPr>
          <t xml:space="preserve">
This input cell, the "Performance Based Incentive" or "PBI" is another potential incentive available to some specific projects. The PBI would be separate from a feed-in-tariff, but acts similarly in that it is per unit of production (typically kWh) income to a project.
Some examples of PBIs include the Federal Production Tax Credit (applicable to private projects with tax appetites) and the Federal Renewable Energy Production Incentive (REPI), historically available to some public projects.
</t>
        </r>
      </text>
    </comment>
    <comment ref="I39" authorId="1" shapeId="0" xr:uid="{00000000-0006-0000-0100-000041000000}">
      <text>
        <r>
          <rPr>
            <b/>
            <sz val="14"/>
            <color indexed="81"/>
            <rFont val="Tahoma"/>
            <family val="2"/>
          </rPr>
          <t xml:space="preserve">Note:
</t>
        </r>
        <r>
          <rPr>
            <sz val="14"/>
            <color indexed="81"/>
            <rFont val="Tahoma"/>
            <family val="2"/>
          </rPr>
          <t xml:space="preserve">Project owners, or hosts, are required to carry insurance. This input accounts for the estimated cost of insuring the modeled power generating facility.
Input cannot be less than zero.
This value will be site specific but reasonable inputs are likely to fall in the range of 0%-2%
</t>
        </r>
      </text>
    </comment>
    <comment ref="S39" authorId="0" shapeId="0" xr:uid="{00000000-0006-0000-0100-000042000000}">
      <text>
        <r>
          <rPr>
            <b/>
            <sz val="14"/>
            <color indexed="81"/>
            <rFont val="Tahoma"/>
            <family val="2"/>
          </rPr>
          <t xml:space="preserve">Note: </t>
        </r>
        <r>
          <rPr>
            <sz val="14"/>
            <color indexed="81"/>
            <rFont val="Tahoma"/>
            <family val="2"/>
          </rPr>
          <t xml:space="preserve">
This cell denotes the value of the Performance Based Incentive applicable to the project's first year of commercial operation. In some cases, this value will need to be calculated external to the model if such PBI is derived from a "base year" and specified inflation index. The following cells can be used to account for inflation and the maximum term of eligibility.
Input cannot be less than zero.
</t>
        </r>
      </text>
    </comment>
    <comment ref="I40" authorId="0" shapeId="0" xr:uid="{00000000-0006-0000-0100-000043000000}">
      <text>
        <r>
          <rPr>
            <b/>
            <sz val="14"/>
            <color indexed="81"/>
            <rFont val="Tahoma"/>
            <family val="2"/>
          </rPr>
          <t xml:space="preserve">Note:
</t>
        </r>
        <r>
          <rPr>
            <sz val="14"/>
            <color indexed="81"/>
            <rFont val="Tahoma"/>
            <family val="2"/>
          </rPr>
          <t xml:space="preserve">This cell calculates the resulting dollar value cost of insurance based on the input above and the project installed cost (net of financing costs).  It is provided simply as a reference for the user.
</t>
        </r>
        <r>
          <rPr>
            <sz val="8"/>
            <color indexed="81"/>
            <rFont val="Tahoma"/>
            <family val="2"/>
          </rPr>
          <t xml:space="preserve">
</t>
        </r>
      </text>
    </comment>
    <comment ref="I41" authorId="1" shapeId="0" xr:uid="{00000000-0006-0000-0100-000044000000}">
      <text>
        <r>
          <rPr>
            <b/>
            <sz val="14"/>
            <color indexed="81"/>
            <rFont val="Tahoma"/>
            <family val="2"/>
          </rPr>
          <t>Note:</t>
        </r>
        <r>
          <rPr>
            <sz val="14"/>
            <color indexed="81"/>
            <rFont val="Tahoma"/>
            <family val="2"/>
          </rPr>
          <t xml:space="preserve">
"Project Management" accounts for the cost of staff time related to managing the project's Power Purchase Agreements, grid integration, and periodic reporting to the system operator and policymakers.  
Input cannot be less than zero.
This value will be site specific but reasonable inputs are likely to fall in the range of $0-$150,000
</t>
        </r>
      </text>
    </comment>
    <comment ref="S41" authorId="0" shapeId="0" xr:uid="{00000000-0006-0000-0100-000045000000}">
      <text>
        <r>
          <rPr>
            <b/>
            <sz val="14"/>
            <color indexed="81"/>
            <rFont val="Tahoma"/>
            <family val="2"/>
          </rPr>
          <t>Note:</t>
        </r>
        <r>
          <rPr>
            <sz val="14"/>
            <color indexed="81"/>
            <rFont val="Tahoma"/>
            <family val="2"/>
          </rPr>
          <t xml:space="preserve">
This is the length of time that a project would be eligible for any Performance Based Incentives outlined in the cell immediately above. For example, the Federal Renewable Energy Production Incentive and Production Tax Credit incentives are available for the first 10 years of project operation.
Input cannot be less than zero.
</t>
        </r>
      </text>
    </comment>
    <comment ref="I42" authorId="1" shapeId="0" xr:uid="{00000000-0006-0000-0100-000046000000}">
      <text>
        <r>
          <rPr>
            <b/>
            <sz val="14"/>
            <color indexed="81"/>
            <rFont val="Tahoma"/>
            <family val="2"/>
          </rPr>
          <t>Note:</t>
        </r>
        <r>
          <rPr>
            <sz val="14"/>
            <color indexed="81"/>
            <rFont val="Tahoma"/>
            <family val="2"/>
          </rPr>
          <t xml:space="preserve">
Some projects will use energy crops or accept feedstocks for no tipping fee but have to incur transportation costs for their delivery.
This input expressed that cost in $/ton.
Input cannot be less than zero.
This value will be site specific.
</t>
        </r>
      </text>
    </comment>
    <comment ref="S42" authorId="0" shapeId="0" xr:uid="{00000000-0006-0000-0100-000047000000}">
      <text>
        <r>
          <rPr>
            <b/>
            <sz val="14"/>
            <color indexed="81"/>
            <rFont val="Tahoma"/>
            <family val="2"/>
          </rPr>
          <t xml:space="preserve">Note:
</t>
        </r>
        <r>
          <rPr>
            <sz val="14"/>
            <color indexed="81"/>
            <rFont val="Tahoma"/>
            <family val="2"/>
          </rPr>
          <t xml:space="preserve">Performance Based Incentives are often adjusted to account for inflation. For example, the Federal Production Tax Credit (PTC) is adjusted each year to account for changes in the GDP IPD index. This cell can be used as a proxy for the inflation that would apply to any PBI incentive entered above.
This input cannot be left blank.
</t>
        </r>
        <r>
          <rPr>
            <sz val="8"/>
            <color indexed="81"/>
            <rFont val="Tahoma"/>
            <family val="2"/>
          </rPr>
          <t xml:space="preserve">
</t>
        </r>
      </text>
    </comment>
    <comment ref="I43" authorId="0" shapeId="0" xr:uid="{00000000-0006-0000-0100-000048000000}">
      <text>
        <r>
          <rPr>
            <b/>
            <sz val="14"/>
            <color indexed="81"/>
            <rFont val="Tahoma"/>
            <family val="2"/>
          </rPr>
          <t xml:space="preserve">Note:
</t>
        </r>
        <r>
          <rPr>
            <sz val="14"/>
            <color indexed="81"/>
            <rFont val="Tahoma"/>
            <family val="2"/>
          </rPr>
          <t xml:space="preserve">This cell provides the inflation rate for the remainder of the project's useful life.
Input must be greater than zero.
</t>
        </r>
      </text>
    </comment>
    <comment ref="S43" authorId="1" shapeId="0" xr:uid="{00000000-0006-0000-0100-000049000000}">
      <text>
        <r>
          <rPr>
            <b/>
            <sz val="14"/>
            <color indexed="81"/>
            <rFont val="Tahoma"/>
            <family val="2"/>
          </rPr>
          <t xml:space="preserve">Note:
</t>
        </r>
        <r>
          <rPr>
            <sz val="14"/>
            <color indexed="81"/>
            <rFont val="Tahoma"/>
            <family val="2"/>
          </rPr>
          <t xml:space="preserve">Some renewable energy projects may be eligible for other federal grants as well, such as funding from the U.S. Department of Agriculture. This input cell can be used to capture those funding opportunities, some of which are outlined online at:
http://dsireusa.org/incentives/index.cfm?state=us&amp;re=1&amp;EE=1
*See bottom of introduction page for a list of links
Input cannot be less than zero.
</t>
        </r>
      </text>
    </comment>
    <comment ref="I44" authorId="1" shapeId="0" xr:uid="{00000000-0006-0000-0100-00004A000000}">
      <text>
        <r>
          <rPr>
            <b/>
            <sz val="14"/>
            <color indexed="81"/>
            <rFont val="Tahoma"/>
            <family val="2"/>
          </rPr>
          <t>Note:</t>
        </r>
        <r>
          <rPr>
            <sz val="14"/>
            <color indexed="81"/>
            <rFont val="Tahoma"/>
            <family val="2"/>
          </rPr>
          <t xml:space="preserve">
Quantity of feedstock purchases (or quantity on which tonnage-based transportation expenses will apply) - measured in tons per year.
Input cannot be less than zero.
This value will be site specific.
</t>
        </r>
      </text>
    </comment>
    <comment ref="S44" authorId="0" shapeId="0" xr:uid="{00000000-0006-0000-0100-00004B000000}">
      <text>
        <r>
          <rPr>
            <b/>
            <sz val="14"/>
            <color indexed="81"/>
            <rFont val="Tahoma"/>
            <family val="2"/>
          </rPr>
          <t xml:space="preserve">Note:
</t>
        </r>
        <r>
          <rPr>
            <sz val="14"/>
            <color indexed="81"/>
            <rFont val="Tahoma"/>
            <family val="2"/>
          </rPr>
          <t xml:space="preserve">Select here whether federal grants (other than the section 1603 payment in lieu of the ITC/PTC) are treated as taxable income. If no, depreciation basis is reduced. 
</t>
        </r>
      </text>
    </comment>
    <comment ref="I45" authorId="1" shapeId="0" xr:uid="{00000000-0006-0000-0100-00004C000000}">
      <text>
        <r>
          <rPr>
            <b/>
            <sz val="14"/>
            <color indexed="81"/>
            <rFont val="Tahoma"/>
            <family val="2"/>
          </rPr>
          <t>Note:</t>
        </r>
        <r>
          <rPr>
            <sz val="14"/>
            <color indexed="81"/>
            <rFont val="Tahoma"/>
            <family val="2"/>
          </rPr>
          <t xml:space="preserve">
This annual expense relates to the use and treatment, respectively, of water certain water resources.
Input cannot be less than zero.
This value will be site specific.
</t>
        </r>
      </text>
    </comment>
    <comment ref="I46" authorId="0" shapeId="0" xr:uid="{00000000-0006-0000-0100-00004D000000}">
      <text>
        <r>
          <rPr>
            <b/>
            <sz val="14"/>
            <color indexed="81"/>
            <rFont val="Tahoma"/>
            <family val="2"/>
          </rPr>
          <t xml:space="preserve">Note:
</t>
        </r>
        <r>
          <rPr>
            <sz val="14"/>
            <color indexed="81"/>
            <rFont val="Tahoma"/>
            <family val="2"/>
          </rPr>
          <t xml:space="preserve">This cell provides the inflation rate for the remainder of the project's useful life.
Input must be greater than zero.
</t>
        </r>
      </text>
    </comment>
    <comment ref="P46" authorId="0" shapeId="0" xr:uid="{00000000-0006-0000-0100-00004E000000}">
      <text>
        <r>
          <rPr>
            <b/>
            <sz val="8"/>
            <color indexed="81"/>
            <rFont val="Tahoma"/>
            <family val="2"/>
          </rPr>
          <t>See "unit" definitions at the bottom of this worksheet.</t>
        </r>
        <r>
          <rPr>
            <sz val="8"/>
            <color indexed="81"/>
            <rFont val="Tahoma"/>
            <family val="2"/>
          </rPr>
          <t xml:space="preserve">
</t>
        </r>
      </text>
    </comment>
    <comment ref="I47" authorId="1" shapeId="0" xr:uid="{00000000-0006-0000-0100-00004F000000}">
      <text>
        <r>
          <rPr>
            <b/>
            <sz val="14"/>
            <color indexed="81"/>
            <rFont val="Tahoma"/>
            <family val="2"/>
          </rPr>
          <t>Note:</t>
        </r>
        <r>
          <rPr>
            <sz val="14"/>
            <color indexed="81"/>
            <rFont val="Tahoma"/>
            <family val="2"/>
          </rPr>
          <t xml:space="preserve">
Digestate is the solid material remaining after the anaerobic digestion of a biodegradable feedstock.
Depending on the characteristics of the plant, the disposition of this material can either become an additional expense or source of revenue.
If digestate is a revenue source for the subject plant, then zero should be entered here.
Input cannot be less than zero.
This value will be site specific but reasonable inputs are likely to fall in the range of $0.02-$0.05
</t>
        </r>
      </text>
    </comment>
    <comment ref="S47" authorId="1" shapeId="0" xr:uid="{00000000-0006-0000-0100-000050000000}">
      <text>
        <r>
          <rPr>
            <b/>
            <sz val="14"/>
            <color indexed="81"/>
            <rFont val="Tahoma"/>
            <family val="2"/>
          </rPr>
          <t xml:space="preserve">Note:
</t>
        </r>
        <r>
          <rPr>
            <sz val="14"/>
            <color indexed="81"/>
            <rFont val="Tahoma"/>
            <family val="2"/>
          </rPr>
          <t>This drop-down input cell allows the user to specify whether state, utility, or other local incentives are cost-based (e.g. an investment tax credit) or performance-based (e.g. a PTC, Renewable Energy Credit (REC) or other cash payment). If no state incentive is available or useable by the modeled project, the user will select "Neither." The magnitude and terms of these incentives are set in the cells below.
For more information, a useful resource for researching federal and state incentives online is:  
http://dsireusa.org/
*See bottom of introduction page for a list of links</t>
        </r>
      </text>
    </comment>
    <comment ref="I48" authorId="0" shapeId="0" xr:uid="{00000000-0006-0000-0100-000051000000}">
      <text>
        <r>
          <rPr>
            <b/>
            <sz val="14"/>
            <color indexed="81"/>
            <rFont val="Tahoma"/>
            <family val="2"/>
          </rPr>
          <t xml:space="preserve">Note:
</t>
        </r>
        <r>
          <rPr>
            <sz val="14"/>
            <color indexed="81"/>
            <rFont val="Tahoma"/>
            <family val="2"/>
          </rPr>
          <t xml:space="preserve">This cell provides the inflation rate for the remainder of the project's useful life.
Input must be greater than zero.
</t>
        </r>
      </text>
    </comment>
    <comment ref="S48" authorId="0" shapeId="0" xr:uid="{00000000-0006-0000-0100-000052000000}">
      <text>
        <r>
          <rPr>
            <b/>
            <sz val="14"/>
            <color indexed="81"/>
            <rFont val="Tahoma"/>
            <family val="2"/>
          </rPr>
          <t xml:space="preserve">NOTE:
</t>
        </r>
        <r>
          <rPr>
            <sz val="14"/>
            <color indexed="81"/>
            <rFont val="Tahoma"/>
            <family val="2"/>
          </rPr>
          <t>The maximum potential Investment Tax Credit (ITC) benefit is assumed to be 30% of those project costs which are depreciable on the 5-year MACRS schedule.
Note that the state investment tax credit can only be applied to state-specific income tax liability.</t>
        </r>
      </text>
    </comment>
    <comment ref="I49" authorId="1" shapeId="0" xr:uid="{00000000-0006-0000-0100-000053000000}">
      <text>
        <r>
          <rPr>
            <b/>
            <sz val="14"/>
            <color indexed="81"/>
            <rFont val="Tahoma"/>
            <family val="2"/>
          </rPr>
          <t>Note:</t>
        </r>
        <r>
          <rPr>
            <sz val="14"/>
            <color indexed="81"/>
            <rFont val="Tahoma"/>
            <family val="2"/>
          </rPr>
          <t xml:space="preserve">
Quantity of digestate to be disposed of - measured in tons per year.
Input cannot be less than zero.
This value will be site specific.
</t>
        </r>
      </text>
    </comment>
    <comment ref="I50" authorId="1" shapeId="0" xr:uid="{00000000-0006-0000-0100-000054000000}">
      <text>
        <r>
          <rPr>
            <b/>
            <sz val="14"/>
            <color indexed="81"/>
            <rFont val="Tahoma"/>
            <family val="2"/>
          </rPr>
          <t xml:space="preserve">Note:
</t>
        </r>
        <r>
          <rPr>
            <sz val="14"/>
            <color indexed="81"/>
            <rFont val="Tahoma"/>
            <family val="2"/>
          </rPr>
          <t>"Property Tax or PILOT" accounts for costs associated with any local taxes incurred by the project. Many states offer tax exemptions for renewable energy systems; to check your local applicability, please visit: http://dsireusa.org/ 
This line can also be used to account for any PILOTs or Payment in Leiu of Taxes. Developers often negotiate a PILOT with the local community to secure a fixed, predictable payment that serves both parties appropriately. This model allows the user to input a year-one Property Tax or PILOT value along with an annual property tax adjsutment factor (see next cell down). As a result, taxes can be modeled as flat, increasing, or decreasing annually depending on the value entered in the adjustment factor cell below.
Input cannot be less than zero.
This value will be site specific.</t>
        </r>
      </text>
    </comment>
    <comment ref="S50" authorId="0" shapeId="0" xr:uid="{00000000-0006-0000-0100-000055000000}">
      <text>
        <r>
          <rPr>
            <b/>
            <sz val="14"/>
            <color indexed="81"/>
            <rFont val="Tahoma"/>
            <family val="2"/>
          </rPr>
          <t xml:space="preserve">Note:
</t>
        </r>
        <r>
          <rPr>
            <sz val="14"/>
            <color indexed="81"/>
            <rFont val="Tahoma"/>
            <family val="2"/>
          </rPr>
          <t>Specifies whether the available ITC is realized in a single year or over multiple years. This input will be specified by state-specific law or regulation.
A good resource on available state incentives is:  
http://dsireusa.org/
*See bottom of introduction page for a list of links
Input must be greater than 1 and less than the Project Useful Life.</t>
        </r>
      </text>
    </comment>
    <comment ref="I51" authorId="1" shapeId="0" xr:uid="{00000000-0006-0000-0100-000056000000}">
      <text>
        <r>
          <rPr>
            <b/>
            <sz val="14"/>
            <color indexed="81"/>
            <rFont val="Tahoma"/>
            <family val="2"/>
          </rPr>
          <t xml:space="preserve">Note:
</t>
        </r>
        <r>
          <rPr>
            <sz val="14"/>
            <color indexed="81"/>
            <rFont val="Tahoma"/>
            <family val="2"/>
          </rPr>
          <t xml:space="preserve">The Annual Property Tax Adjustment Factor allows the user to specify whether the Year One tax (or PILOT) value will remain fixed and flat, will decrease (a negative percentage value entered in this cell) or increase (a positive percentage value entered in this cell) over time.  </t>
        </r>
        <r>
          <rPr>
            <sz val="8"/>
            <color indexed="81"/>
            <rFont val="Tahoma"/>
            <family val="2"/>
          </rPr>
          <t xml:space="preserve">
</t>
        </r>
      </text>
    </comment>
    <comment ref="S51" authorId="0" shapeId="0" xr:uid="{00000000-0006-0000-0100-000057000000}">
      <text>
        <r>
          <rPr>
            <b/>
            <sz val="14"/>
            <color indexed="81"/>
            <rFont val="Tahoma"/>
            <family val="2"/>
          </rPr>
          <t xml:space="preserve">Note:
</t>
        </r>
        <r>
          <rPr>
            <sz val="14"/>
            <color indexed="81"/>
            <rFont val="Tahoma"/>
            <family val="2"/>
          </rPr>
          <t xml:space="preserve">Calculates the dollar value of the State Investment Tax Credit, if applicable.
</t>
        </r>
      </text>
    </comment>
    <comment ref="I52" authorId="1" shapeId="0" xr:uid="{00000000-0006-0000-0100-000058000000}">
      <text>
        <r>
          <rPr>
            <b/>
            <sz val="14"/>
            <color indexed="81"/>
            <rFont val="Tahoma"/>
            <family val="2"/>
          </rPr>
          <t xml:space="preserve">Note:
</t>
        </r>
        <r>
          <rPr>
            <sz val="14"/>
            <color indexed="81"/>
            <rFont val="Tahoma"/>
            <family val="2"/>
          </rPr>
          <t xml:space="preserve">The Land Lease input represents </t>
        </r>
        <r>
          <rPr>
            <b/>
            <u/>
            <sz val="14"/>
            <color indexed="81"/>
            <rFont val="Tahoma"/>
            <family val="2"/>
          </rPr>
          <t>fixed payments</t>
        </r>
        <r>
          <rPr>
            <sz val="14"/>
            <color indexed="81"/>
            <rFont val="Tahoma"/>
            <family val="2"/>
          </rPr>
          <t xml:space="preserve"> to the site host (and possibly other affected parties) for the use of the land on which the project is located.  
Variable royalty payments may be applied in addition to, or in lieu of, the land lease payment through the "Royalties" input below, if applicable.  
Input cannot be less than zero.
This value will be site specific.</t>
        </r>
      </text>
    </comment>
    <comment ref="S52" authorId="0" shapeId="0" xr:uid="{00000000-0006-0000-0100-000059000000}">
      <text>
        <r>
          <rPr>
            <b/>
            <sz val="14"/>
            <color indexed="81"/>
            <rFont val="Tahoma"/>
            <family val="2"/>
          </rPr>
          <t xml:space="preserve">Note: </t>
        </r>
        <r>
          <rPr>
            <sz val="14"/>
            <color indexed="81"/>
            <rFont val="Tahoma"/>
            <family val="2"/>
          </rPr>
          <t xml:space="preserve">
This input cell, the "Performance Based Incentive" or "PBI" is another potential incentive available to some specific projects. The PBI would be separate from a feed-in-tariff, but acts similarly in that it is per unit of production (typically kWh) income to a project.
Some examples of PBIs include the Federal Production Tax Credit (applicable to private projects with tax appetites) and the Federal Renewable Energy Production Incentive (REPI), historically available to some public projects.
</t>
        </r>
      </text>
    </comment>
    <comment ref="I53" authorId="1" shapeId="0" xr:uid="{00000000-0006-0000-0100-00005A000000}">
      <text>
        <r>
          <rPr>
            <b/>
            <sz val="14"/>
            <color indexed="81"/>
            <rFont val="Tahoma"/>
            <family val="2"/>
          </rPr>
          <t xml:space="preserve">Note:
</t>
        </r>
        <r>
          <rPr>
            <sz val="14"/>
            <color indexed="81"/>
            <rFont val="Tahoma"/>
            <family val="2"/>
          </rPr>
          <t xml:space="preserve">The royalties input accounts for </t>
        </r>
        <r>
          <rPr>
            <b/>
            <u/>
            <sz val="14"/>
            <color indexed="81"/>
            <rFont val="Tahoma"/>
            <family val="2"/>
          </rPr>
          <t>variable</t>
        </r>
        <r>
          <rPr>
            <sz val="14"/>
            <color indexed="81"/>
            <rFont val="Tahoma"/>
            <family val="2"/>
          </rPr>
          <t xml:space="preserve"> payments to site hosts, neighbors, partners, or other parties which may have a stake in the project and which are NOT covered by the fixed "Land Lease" payment. 
Fixed payments may be applied in addition to, or in lieu of, the royalty payment through the "Land Lease" input above, if applicable.  
</t>
        </r>
        <r>
          <rPr>
            <b/>
            <sz val="14"/>
            <color indexed="81"/>
            <rFont val="Tahoma"/>
            <family val="2"/>
          </rPr>
          <t>Inflation is NOT applied to this input</t>
        </r>
        <r>
          <rPr>
            <sz val="14"/>
            <color indexed="81"/>
            <rFont val="Tahoma"/>
            <family val="2"/>
          </rPr>
          <t>. However, if tariff escalation is selected, then the assumed royalty payment will increase over time since it is calculated as a function of revenue over time.
If the modeled project's royalty payments are not the same over time, then an average annual royalty payment should be calculated externally and entered in this cell. 
This input cannot be less than zero.
This value will be site specific and is typically negotiable.</t>
        </r>
      </text>
    </comment>
    <comment ref="S53" authorId="0" shapeId="0" xr:uid="{00000000-0006-0000-0100-00005B000000}">
      <text>
        <r>
          <rPr>
            <b/>
            <sz val="14"/>
            <color indexed="81"/>
            <rFont val="Tahoma"/>
            <family val="2"/>
          </rPr>
          <t xml:space="preserve">Note:
</t>
        </r>
        <r>
          <rPr>
            <sz val="14"/>
            <color indexed="81"/>
            <rFont val="Tahoma"/>
            <family val="2"/>
          </rPr>
          <t xml:space="preserve">Enter here the annual dollar value ("cap") of any state-specific production incentive.
</t>
        </r>
        <r>
          <rPr>
            <b/>
            <sz val="16"/>
            <color indexed="81"/>
            <rFont val="Tahoma"/>
            <family val="2"/>
          </rPr>
          <t>If no cap exists, enter zero.</t>
        </r>
        <r>
          <rPr>
            <sz val="14"/>
            <color indexed="81"/>
            <rFont val="Tahoma"/>
            <family val="2"/>
          </rPr>
          <t xml:space="preserve">
Input cannot be less than zero.
</t>
        </r>
      </text>
    </comment>
    <comment ref="I54" authorId="0" shapeId="0" xr:uid="{00000000-0006-0000-0100-00005C000000}">
      <text>
        <r>
          <rPr>
            <b/>
            <sz val="14"/>
            <color indexed="81"/>
            <rFont val="Tahoma"/>
            <family val="2"/>
          </rPr>
          <t xml:space="preserve">Note:
</t>
        </r>
        <r>
          <rPr>
            <sz val="14"/>
            <color indexed="81"/>
            <rFont val="Tahoma"/>
            <family val="2"/>
          </rPr>
          <t xml:space="preserve">This cell calculates the resulting dollar value cost of royalties paid to landowners or other stakeholders based on the input above and project revenue.  It is provided simply as a reference for the user.
</t>
        </r>
        <r>
          <rPr>
            <sz val="8"/>
            <color indexed="81"/>
            <rFont val="Tahoma"/>
            <family val="2"/>
          </rPr>
          <t xml:space="preserve">
</t>
        </r>
      </text>
    </comment>
    <comment ref="S54" authorId="0" shapeId="0" xr:uid="{00000000-0006-0000-0100-00005D000000}">
      <text>
        <r>
          <rPr>
            <b/>
            <sz val="14"/>
            <color indexed="81"/>
            <rFont val="Tahoma"/>
            <family val="2"/>
          </rPr>
          <t xml:space="preserve">Note:
</t>
        </r>
        <r>
          <rPr>
            <sz val="14"/>
            <color indexed="81"/>
            <rFont val="Tahoma"/>
            <family val="2"/>
          </rPr>
          <t xml:space="preserve">Impacts tax treatment of PBI if owner is a taxable entity.
</t>
        </r>
      </text>
    </comment>
    <comment ref="S55" authorId="0" shapeId="0" xr:uid="{00000000-0006-0000-0100-00005E000000}">
      <text>
        <r>
          <rPr>
            <b/>
            <sz val="14"/>
            <color indexed="81"/>
            <rFont val="Tahoma"/>
            <family val="2"/>
          </rPr>
          <t xml:space="preserve">Note: </t>
        </r>
        <r>
          <rPr>
            <sz val="14"/>
            <color indexed="81"/>
            <rFont val="Tahoma"/>
            <family val="2"/>
          </rPr>
          <t xml:space="preserve">
This cell denotes the value of the Performance Based Incentive applicable to the project's first year of commercial operation. In some cases, this value will need to be calculated external to the model if such PBI is derived from a "base year" and specified inflation index. The following cells can be used to account for inflation and the maximum term of eligibility.
Input cannot be less than zero.
</t>
        </r>
      </text>
    </comment>
    <comment ref="F56" authorId="0" shapeId="0" xr:uid="{00000000-0006-0000-0100-00005F000000}">
      <text>
        <r>
          <rPr>
            <b/>
            <sz val="8"/>
            <color indexed="81"/>
            <rFont val="Tahoma"/>
            <family val="2"/>
          </rPr>
          <t>See "unit" definitions at the bottom of this worksheet.</t>
        </r>
        <r>
          <rPr>
            <sz val="8"/>
            <color indexed="81"/>
            <rFont val="Tahoma"/>
            <family val="2"/>
          </rPr>
          <t xml:space="preserve">
</t>
        </r>
      </text>
    </comment>
    <comment ref="I57" authorId="0" shapeId="0" xr:uid="{00000000-0006-0000-0100-000060000000}">
      <text>
        <r>
          <rPr>
            <b/>
            <sz val="14"/>
            <color indexed="81"/>
            <rFont val="Tahoma"/>
            <family val="2"/>
          </rPr>
          <t xml:space="preserve">Note:
</t>
        </r>
        <r>
          <rPr>
            <sz val="14"/>
            <color indexed="81"/>
            <rFont val="Tahoma"/>
            <family val="2"/>
          </rPr>
          <t>The # of months from construction start to commercial operation. This input cannot be less than zero.
This value will be site specific but reasonable inputs are likely to fall in the range of 6-12</t>
        </r>
      </text>
    </comment>
    <comment ref="S57" authorId="0" shapeId="0" xr:uid="{00000000-0006-0000-0100-000061000000}">
      <text>
        <r>
          <rPr>
            <b/>
            <sz val="14"/>
            <color indexed="81"/>
            <rFont val="Tahoma"/>
            <family val="2"/>
          </rPr>
          <t>Note:</t>
        </r>
        <r>
          <rPr>
            <sz val="14"/>
            <color indexed="81"/>
            <rFont val="Tahoma"/>
            <family val="2"/>
          </rPr>
          <t xml:space="preserve">
This is the length of time that a project would be eligible for any Performance Based Incentives outlined in the cell immediately above. For example, the Federal Renewable Energy Production Incentive and Production Tax Credit incentives are available for the first 10 years of project operation.
Input cannot be less than zero.
</t>
        </r>
      </text>
    </comment>
    <comment ref="I58" authorId="0" shapeId="0" xr:uid="{00000000-0006-0000-0100-000062000000}">
      <text>
        <r>
          <rPr>
            <b/>
            <sz val="14"/>
            <color indexed="81"/>
            <rFont val="Tahoma"/>
            <family val="2"/>
          </rPr>
          <t xml:space="preserve">Note:
</t>
        </r>
        <r>
          <rPr>
            <sz val="14"/>
            <color indexed="81"/>
            <rFont val="Tahoma"/>
            <family val="2"/>
          </rPr>
          <t>The annual interest rate on construction debt. This input cannot be less than zero.
This value will be site specific but reasonable inputs are likely to fall in the range of 3-10%</t>
        </r>
      </text>
    </comment>
    <comment ref="S58" authorId="0" shapeId="0" xr:uid="{00000000-0006-0000-0100-000063000000}">
      <text>
        <r>
          <rPr>
            <b/>
            <sz val="14"/>
            <color indexed="81"/>
            <rFont val="Tahoma"/>
            <family val="2"/>
          </rPr>
          <t xml:space="preserve">Note:
</t>
        </r>
        <r>
          <rPr>
            <sz val="14"/>
            <color indexed="81"/>
            <rFont val="Tahoma"/>
            <family val="2"/>
          </rPr>
          <t xml:space="preserve">Performance Based Incentives are often adjusted to account for inflation. For example, the Federal Production Tax Credit (PTC) is adjusted each year to account for changes in the GDP IPD index. This cell can be used as a proxy for the inflation that would apply to any PBI incentive entered above.
This input cannot be left blank.
</t>
        </r>
      </text>
    </comment>
    <comment ref="I59" authorId="0" shapeId="0" xr:uid="{00000000-0006-0000-0100-000064000000}">
      <text>
        <r>
          <rPr>
            <b/>
            <sz val="14"/>
            <color indexed="81"/>
            <rFont val="Tahoma"/>
            <family val="2"/>
          </rPr>
          <t xml:space="preserve">Note:
</t>
        </r>
        <r>
          <rPr>
            <sz val="14"/>
            <color indexed="81"/>
            <rFont val="Tahoma"/>
            <family val="2"/>
          </rPr>
          <t xml:space="preserve">A calculated value showing the interest accrued during the construction period. Rather than requiring the user to define a detailed construction draw-down schedule, this calculation makes the simplifying assumption that the total project cost is spent in equal parts in each month of the construction period.
IDC is calculated on total project cost, assuming that any grants are collected after construction financing is repaid at time of permanent financing.
This cell is only used with the "Intermediate" and "Complex" capital cost options. The "Simple" capital cost option assumes that all project costs, including IDC, are included in the single input.
</t>
        </r>
      </text>
    </comment>
    <comment ref="S59" authorId="0" shapeId="0" xr:uid="{00000000-0006-0000-0100-000065000000}">
      <text>
        <r>
          <rPr>
            <b/>
            <sz val="14"/>
            <color indexed="81"/>
            <rFont val="Tahoma"/>
            <family val="2"/>
          </rPr>
          <t xml:space="preserve">Note:
</t>
        </r>
        <r>
          <rPr>
            <sz val="14"/>
            <color indexed="81"/>
            <rFont val="Tahoma"/>
            <family val="2"/>
          </rPr>
          <t xml:space="preserve">Include here the dollar per Watt value of any state-specific rebates or cash grants.
Input cannot be less than zero.
</t>
        </r>
      </text>
    </comment>
    <comment ref="S60" authorId="0" shapeId="0" xr:uid="{00000000-0006-0000-0100-000066000000}">
      <text>
        <r>
          <rPr>
            <b/>
            <sz val="14"/>
            <color indexed="81"/>
            <rFont val="Tahoma"/>
            <family val="2"/>
          </rPr>
          <t xml:space="preserve">Note:
</t>
        </r>
        <r>
          <rPr>
            <sz val="14"/>
            <color indexed="81"/>
            <rFont val="Tahoma"/>
            <family val="2"/>
          </rPr>
          <t xml:space="preserve">Enter here the maximum dollar value ("cap") of any state-specific rebate or grant.
If no cap exists, enter zero.
Input cannot be less than zero.
</t>
        </r>
      </text>
    </comment>
    <comment ref="F61" authorId="0" shapeId="0" xr:uid="{00000000-0006-0000-0100-000067000000}">
      <text>
        <r>
          <rPr>
            <b/>
            <sz val="8"/>
            <color indexed="81"/>
            <rFont val="Tahoma"/>
            <family val="2"/>
          </rPr>
          <t>See "unit" definitions at the bottom of this worksheet.</t>
        </r>
        <r>
          <rPr>
            <sz val="8"/>
            <color indexed="81"/>
            <rFont val="Tahoma"/>
            <family val="2"/>
          </rPr>
          <t xml:space="preserve">
</t>
        </r>
      </text>
    </comment>
    <comment ref="S61" authorId="0" shapeId="0" xr:uid="{00000000-0006-0000-0100-000068000000}">
      <text>
        <r>
          <rPr>
            <b/>
            <sz val="14"/>
            <color indexed="81"/>
            <rFont val="Tahoma"/>
            <family val="2"/>
          </rPr>
          <t xml:space="preserve">Note:
</t>
        </r>
        <r>
          <rPr>
            <sz val="14"/>
            <color indexed="81"/>
            <rFont val="Tahoma"/>
            <family val="2"/>
          </rPr>
          <t xml:space="preserve">Select here whether state grants are treated as taxable income.  If no, depreciation basis is reduced. 
</t>
        </r>
      </text>
    </comment>
    <comment ref="I62" authorId="0" shapeId="0" xr:uid="{00000000-0006-0000-0100-000069000000}">
      <text>
        <r>
          <rPr>
            <b/>
            <sz val="14"/>
            <color indexed="81"/>
            <rFont val="Tahoma"/>
            <family val="2"/>
          </rPr>
          <t xml:space="preserve">Note:
</t>
        </r>
        <r>
          <rPr>
            <sz val="14"/>
            <color indexed="81"/>
            <rFont val="Tahoma"/>
            <family val="2"/>
          </rPr>
          <t xml:space="preserve">For ease of use and comprehension by a wide range of stakeholders, this model allows the user to define the capital structure, and relies on mortgage-style amortization of the project debt. The "% Debt" input specifies the portion of funds borrowed, as a percentage of the total "hard costs." Equity is assumed to fund the remaining hard costs PLUS all "soft costs" (e.g. transaction costs and funding of initial reserve accounts, if applicable).  This input cannot be less than zero.
Where maximum sustainable leverage is desired, the user must manually adjust the "% Debt" entry upward to the highest point </t>
        </r>
        <r>
          <rPr>
            <b/>
            <i/>
            <sz val="14"/>
            <color indexed="81"/>
            <rFont val="Tahoma"/>
            <family val="2"/>
          </rPr>
          <t>before</t>
        </r>
        <r>
          <rPr>
            <sz val="14"/>
            <color indexed="81"/>
            <rFont val="Tahoma"/>
            <family val="2"/>
          </rPr>
          <t xml:space="preserve"> the DSCRs no longer "Pass."
If a specific % Debt is desired, </t>
        </r>
        <r>
          <rPr>
            <u/>
            <sz val="14"/>
            <color indexed="81"/>
            <rFont val="Tahoma"/>
            <family val="2"/>
          </rPr>
          <t>and such % is higher than the maximum sustainable debt</t>
        </r>
        <r>
          <rPr>
            <sz val="14"/>
            <color indexed="81"/>
            <rFont val="Tahoma"/>
            <family val="2"/>
          </rPr>
          <t xml:space="preserve"> (such that it causes the DSCR to "Fail"), then the user must define the % Debt and then manually adjust the "Target After-Tax Equity IRR" upward until the DSCRs are met.  The user should </t>
        </r>
        <r>
          <rPr>
            <b/>
            <sz val="14"/>
            <color indexed="81"/>
            <rFont val="Tahoma"/>
            <family val="2"/>
          </rPr>
          <t>take note</t>
        </r>
        <r>
          <rPr>
            <sz val="14"/>
            <color indexed="81"/>
            <rFont val="Tahoma"/>
            <family val="2"/>
          </rPr>
          <t xml:space="preserve"> that when leverage becomes very high (and the corresponding equity contribution low), the "Target After-Tax Equity IRR" will need to be adjusted to levels exceeding typical commercial returns </t>
        </r>
        <r>
          <rPr>
            <u/>
            <sz val="14"/>
            <color indexed="81"/>
            <rFont val="Tahoma"/>
            <family val="2"/>
          </rPr>
          <t>in order to maintain the DSCR ratio</t>
        </r>
        <r>
          <rPr>
            <sz val="14"/>
            <color indexed="81"/>
            <rFont val="Tahoma"/>
            <family val="2"/>
          </rPr>
          <t xml:space="preserve"> on such high debt levels.  For this reason, it is not recommended that users solve for the Cost of Energy (COE) associated with a % Debt that is beyond the maximum sustainable leverage.
If a project is expected to be funded either by a pool of corporate funds or back-leveraged after commercial operation, the user might elect to enter 0% in the "% Debt" cell and enter a weighted average cost of capital (WACC) in the "Target After-Tax Equity IRR" cell.
This value will be site specific and will fall somewhere between 0 and 100%.
</t>
        </r>
      </text>
    </comment>
    <comment ref="I63" authorId="1" shapeId="0" xr:uid="{00000000-0006-0000-0100-00006A000000}">
      <text>
        <r>
          <rPr>
            <b/>
            <sz val="14"/>
            <color indexed="81"/>
            <rFont val="Tahoma"/>
            <family val="2"/>
          </rPr>
          <t>Note:</t>
        </r>
        <r>
          <rPr>
            <sz val="14"/>
            <color indexed="81"/>
            <rFont val="Tahoma"/>
            <family val="2"/>
          </rPr>
          <t xml:space="preserve">
Debt "tenor" (also casually referred to as "term"), is the number of years in the debt repayment schedule.   
Caution: If the project will utilize debt, this value must be greater than zero but less than or equal to the total FIT contract duration.
This value will be site specific but reasonable inputs are likely to fall in the range of 10-20
</t>
        </r>
      </text>
    </comment>
    <comment ref="I64" authorId="1" shapeId="0" xr:uid="{00000000-0006-0000-0100-00006B000000}">
      <text>
        <r>
          <rPr>
            <b/>
            <sz val="14"/>
            <color indexed="81"/>
            <rFont val="Tahoma"/>
            <family val="2"/>
          </rPr>
          <t>Note:</t>
        </r>
        <r>
          <rPr>
            <sz val="14"/>
            <color indexed="81"/>
            <rFont val="Tahoma"/>
            <family val="2"/>
          </rPr>
          <t xml:space="preserve">
The all-in interest rate is the financing rate provided by the bank or other debt investor.
This input cannot be less than zero.
This value will be site specific but reasonable inputs are likely to fall in the range of 4%-10%</t>
        </r>
      </text>
    </comment>
    <comment ref="S64" authorId="0" shapeId="0" xr:uid="{00000000-0006-0000-0100-00006C000000}">
      <text>
        <r>
          <rPr>
            <b/>
            <sz val="14"/>
            <color indexed="81"/>
            <rFont val="Tahoma"/>
            <family val="2"/>
          </rPr>
          <t>Note:</t>
        </r>
        <r>
          <rPr>
            <sz val="14"/>
            <color indexed="81"/>
            <rFont val="Tahoma"/>
            <family val="2"/>
          </rPr>
          <t xml:space="preserve">
These input cells allow for assumptions regarding the replacement of major equipment components, which are capitalized and depreciated rather than expensed as annual O&amp;M.   
Caution: Modelers should take into account the assumed contract duration and the project's useful life when considering whether to assume equipment replacements in the latter years of this analysis. 
Inputs should be greater than zero and less than the Project Useful Life.
</t>
        </r>
      </text>
    </comment>
    <comment ref="I65" authorId="0" shapeId="0" xr:uid="{00000000-0006-0000-0100-00006D000000}">
      <text>
        <r>
          <rPr>
            <b/>
            <sz val="14"/>
            <color indexed="81"/>
            <rFont val="Tahoma"/>
            <family val="2"/>
          </rPr>
          <t xml:space="preserve">Note:
</t>
        </r>
        <r>
          <rPr>
            <sz val="14"/>
            <color indexed="81"/>
            <rFont val="Tahoma"/>
            <family val="2"/>
          </rPr>
          <t>A one-time fee collected by the lender and calculated as a % of the total loan amount. This value is typically between 1% and 4%.
This input cannot be less than zero.
This value will be site specific but reasonable inputs are likely to fall in the range of 1.0-5.0%</t>
        </r>
      </text>
    </comment>
    <comment ref="S65" authorId="0" shapeId="0" xr:uid="{00000000-0006-0000-0100-00006E000000}">
      <text>
        <r>
          <rPr>
            <b/>
            <sz val="14"/>
            <color indexed="81"/>
            <rFont val="Tahoma"/>
            <family val="2"/>
          </rPr>
          <t xml:space="preserve">Note:
</t>
        </r>
        <r>
          <rPr>
            <sz val="14"/>
            <color indexed="81"/>
            <rFont val="Tahoma"/>
            <family val="2"/>
          </rPr>
          <t>The cost of (or even need for) major equipment replacements is difficult to assess, given that costs are attributable to an item that would be purchased many years from commercial operation. The input placed in this cell must be in nominal dollars -- reflecting the expected cost of the equipment in the year replaced. The model then reserves funds sufficient to pay for this replacement from operations in equal amounts until the year in which the replacement occurs.
Note: This model assumes that future equipment purchases will be depreciated on 5-yr MACRS basis.
Input must be greater than or equal to zero.</t>
        </r>
      </text>
    </comment>
    <comment ref="I66" authorId="1" shapeId="0" xr:uid="{00000000-0006-0000-0100-00006F000000}">
      <text>
        <r>
          <rPr>
            <b/>
            <sz val="14"/>
            <color indexed="81"/>
            <rFont val="Tahoma"/>
            <family val="2"/>
          </rPr>
          <t>Note:</t>
        </r>
        <r>
          <rPr>
            <sz val="14"/>
            <color indexed="81"/>
            <rFont val="Tahoma"/>
            <family val="2"/>
          </rPr>
          <t xml:space="preserve">
The annual Debt Service Coverage Ratio is calculated by dividing the sum of the annual principal and interest payment into that year's operating cash flow. Lenders will require the DSCR to demonstrate the project's ability to easily meet its annual debt service obligation.
</t>
        </r>
        <r>
          <rPr>
            <u/>
            <sz val="14"/>
            <color indexed="81"/>
            <rFont val="Tahoma"/>
            <family val="2"/>
          </rPr>
          <t>Average</t>
        </r>
        <r>
          <rPr>
            <sz val="14"/>
            <color indexed="81"/>
            <rFont val="Tahoma"/>
            <family val="2"/>
          </rPr>
          <t xml:space="preserve"> DSCRs over the life of the loan typically range from 1.2 to 1.5 for private, commercially financed projects, or from 1.1 to 1.3 for publicly owned, bond-financed projects - depending on the level of reserves, or other surety, provided. The input will vary by site and but will generally fall between 1.0 and 1.3
The </t>
        </r>
        <r>
          <rPr>
            <u/>
            <sz val="14"/>
            <color indexed="81"/>
            <rFont val="Tahoma"/>
            <family val="2"/>
          </rPr>
          <t>annual minimum</t>
        </r>
        <r>
          <rPr>
            <sz val="14"/>
            <color indexed="81"/>
            <rFont val="Tahoma"/>
            <family val="2"/>
          </rPr>
          <t xml:space="preserve"> DSCR will depend on the specific terms of the loan and the probability-weighting of the production estimate, but will likely be in the range of 1.3 to 1.5. This input must be greater than 1.
</t>
        </r>
      </text>
    </comment>
    <comment ref="S66" authorId="0" shapeId="0" xr:uid="{00000000-0006-0000-0100-000070000000}">
      <text>
        <r>
          <rPr>
            <b/>
            <sz val="14"/>
            <color indexed="81"/>
            <rFont val="Tahoma"/>
            <family val="2"/>
          </rPr>
          <t>Note:</t>
        </r>
        <r>
          <rPr>
            <sz val="14"/>
            <color indexed="81"/>
            <rFont val="Tahoma"/>
            <family val="2"/>
          </rPr>
          <t xml:space="preserve">
These input cells allow for assumptions regarding the replacement of major equipment components, which are capitalized and depreciated rather than expensed as annual O&amp;M.   
Caution: Modelers should take into account the assumed contract duration and the project's useful life when considering whether to assume equipment replacements in the latter years of this analysis. 
Inputs should be greater than zero and less than the Project Useful Life.
</t>
        </r>
      </text>
    </comment>
    <comment ref="I67" authorId="0" shapeId="0" xr:uid="{00000000-0006-0000-0100-000071000000}">
      <text>
        <r>
          <rPr>
            <b/>
            <sz val="14"/>
            <color indexed="81"/>
            <rFont val="Tahoma"/>
            <family val="2"/>
          </rPr>
          <t>Note:</t>
        </r>
        <r>
          <rPr>
            <sz val="14"/>
            <color indexed="81"/>
            <rFont val="Tahoma"/>
            <family val="2"/>
          </rPr>
          <t xml:space="preserve">
If "#N/A" appears, F9 should be pressed until the calculated COE achieves it's final value.</t>
        </r>
      </text>
    </comment>
    <comment ref="S67" authorId="0" shapeId="0" xr:uid="{00000000-0006-0000-0100-000072000000}">
      <text>
        <r>
          <rPr>
            <b/>
            <sz val="14"/>
            <color indexed="81"/>
            <rFont val="Tahoma"/>
            <family val="2"/>
          </rPr>
          <t xml:space="preserve">Note:
</t>
        </r>
        <r>
          <rPr>
            <sz val="14"/>
            <color indexed="81"/>
            <rFont val="Tahoma"/>
            <family val="2"/>
          </rPr>
          <t>The cost of (or even need for) major equipment replacements is difficult to assess, given that costs are attributable to an item that would be purchased many years from commercial operation. The input placed in this cell must be in nominal dollars -- reflecting the expected cost of the equipment in the year replaced. The model then reserves funds sufficient to pay for this replacement from operations in equal amounts until the year in which the replacement occurs.
Note: This model assumes that future equipment purchases will be depreciated on 5-yr MACRS basis.
Input must be greater than or equal to zero.</t>
        </r>
      </text>
    </comment>
    <comment ref="I68" authorId="1" shapeId="0" xr:uid="{00000000-0006-0000-0100-000073000000}">
      <text>
        <r>
          <rPr>
            <b/>
            <sz val="14"/>
            <color indexed="81"/>
            <rFont val="Tahoma"/>
            <family val="2"/>
          </rPr>
          <t>Note:</t>
        </r>
        <r>
          <rPr>
            <sz val="14"/>
            <color indexed="81"/>
            <rFont val="Tahoma"/>
            <family val="2"/>
          </rPr>
          <t xml:space="preserve">
This cell checks that the debt service coverage ratio exceeds the user-defined minimum in each operating year (see note in DSCR cell for definition and rationale for DSCR). If the test "fails", the user must choose from one of several options in order to cure this deficiency (the extent to which these options are available will be specific to each project):
1. reduce the amount of project level debt, 
2. increase the feed-in tariff rate in order to generate cash flow sufficient to meet the bank's assumed coverage requirement.  In the CREST model, </t>
        </r>
        <r>
          <rPr>
            <u/>
            <sz val="14"/>
            <color indexed="81"/>
            <rFont val="Tahoma"/>
            <family val="2"/>
          </rPr>
          <t>this is done by manually increasing the "Target After-Tax Equity IRR."</t>
        </r>
        <r>
          <rPr>
            <sz val="14"/>
            <color indexed="81"/>
            <rFont val="Tahoma"/>
            <family val="2"/>
          </rPr>
          <t xml:space="preserve"> Because the CREST model solves for the Levelized Cost of Energy (LCOE) that meets all project costs and minumum stated requirements, increasing the equity IRR requirements signals to the model that more revenue (e.g. a higher contract rate per kWh) is required.  This increased revenue translates into greater debt service coverage and a higher equity IRR.
Other possible, but less likely, mechanisms include:
3. increase the loan tenor
4. decrease the interest rate</t>
        </r>
      </text>
    </comment>
    <comment ref="S68" authorId="0" shapeId="0" xr:uid="{00000000-0006-0000-0100-000074000000}">
      <text>
        <r>
          <rPr>
            <b/>
            <sz val="14"/>
            <color indexed="81"/>
            <rFont val="Tahoma"/>
            <family val="2"/>
          </rPr>
          <t>Note:</t>
        </r>
        <r>
          <rPr>
            <sz val="14"/>
            <color indexed="81"/>
            <rFont val="Tahoma"/>
            <family val="2"/>
          </rPr>
          <t xml:space="preserve">
These input cells allow for assumptions regarding the replacement of major equipment components, which are capitalized and depreciated rather than expensed as annual O&amp;M.   
Caution: Modelers should take into account the assumed contract duration and the project's useful life when considering whether to assume equipment replacements in the latter years of this analysis. 
Inputs should be greater than zero and less than the Project Useful Life.
</t>
        </r>
      </text>
    </comment>
    <comment ref="I69" authorId="1" shapeId="0" xr:uid="{00000000-0006-0000-0100-000075000000}">
      <text>
        <r>
          <rPr>
            <b/>
            <sz val="14"/>
            <color indexed="81"/>
            <rFont val="Tahoma"/>
            <family val="2"/>
          </rPr>
          <t>Note:</t>
        </r>
        <r>
          <rPr>
            <sz val="14"/>
            <color indexed="81"/>
            <rFont val="Tahoma"/>
            <family val="2"/>
          </rPr>
          <t xml:space="preserve">
The annual Debt Service Coverage Ratio is calculated by dividing the sum of the annual principal and interest payment into that year's operating cash flow. Lenders will require the DSCR to demonstrate the project's ability to easily meet its annual debt service obligation.
</t>
        </r>
        <r>
          <rPr>
            <u/>
            <sz val="14"/>
            <color indexed="81"/>
            <rFont val="Tahoma"/>
            <family val="2"/>
          </rPr>
          <t>Average</t>
        </r>
        <r>
          <rPr>
            <sz val="14"/>
            <color indexed="81"/>
            <rFont val="Tahoma"/>
            <family val="2"/>
          </rPr>
          <t xml:space="preserve"> DSCRs over the life of the loan typically range from 1.2 to 1.5 for private, commercially financed projects, or from 1.1 to 1.3 for publicly owned, bond-financed projects - depending on the level of reserves, or other surety, provided. The input will vary by site and but will generally fall between 1.0 and 1.3
The </t>
        </r>
        <r>
          <rPr>
            <u/>
            <sz val="14"/>
            <color indexed="81"/>
            <rFont val="Tahoma"/>
            <family val="2"/>
          </rPr>
          <t>annual minimum</t>
        </r>
        <r>
          <rPr>
            <sz val="14"/>
            <color indexed="81"/>
            <rFont val="Tahoma"/>
            <family val="2"/>
          </rPr>
          <t xml:space="preserve"> DSCR will depend on the specific terms of the loan and the probability-weighting of the production estimate, but will likely be in the range of 1.3 to 1.5. This input must be greater than 1.
</t>
        </r>
      </text>
    </comment>
    <comment ref="S69" authorId="0" shapeId="0" xr:uid="{00000000-0006-0000-0100-000076000000}">
      <text>
        <r>
          <rPr>
            <b/>
            <sz val="14"/>
            <color indexed="81"/>
            <rFont val="Tahoma"/>
            <family val="2"/>
          </rPr>
          <t xml:space="preserve">Note:
</t>
        </r>
        <r>
          <rPr>
            <sz val="14"/>
            <color indexed="81"/>
            <rFont val="Tahoma"/>
            <family val="2"/>
          </rPr>
          <t>The cost of (or even need for) major equipment replacements is difficult to assess, given that costs are attributable to an item that would be purchased many years from commercial operation. The input placed in this cell must be in nominal dollars -- reflecting the expected cost of the equipment in the year replaced. The model then reserves funds sufficient to pay for this replacement from operations in equal amounts until the year in which the replacement occurs.
Note: This model assumes that future equipment purchases will be depreciated on 5-yr MACRS basis.
Input must be greater than or equal to zero.</t>
        </r>
      </text>
    </comment>
    <comment ref="I70" authorId="0" shapeId="0" xr:uid="{00000000-0006-0000-0100-000077000000}">
      <text>
        <r>
          <rPr>
            <b/>
            <sz val="12"/>
            <color indexed="81"/>
            <rFont val="Tahoma"/>
            <family val="2"/>
          </rPr>
          <t>Note:</t>
        </r>
        <r>
          <rPr>
            <sz val="12"/>
            <color indexed="81"/>
            <rFont val="Tahoma"/>
            <family val="2"/>
          </rPr>
          <t xml:space="preserve">
If "#N/A" appears, F9 should be pressed until the calculated COE achieves it's final value.</t>
        </r>
      </text>
    </comment>
    <comment ref="S70" authorId="0" shapeId="0" xr:uid="{00000000-0006-0000-0100-000078000000}">
      <text>
        <r>
          <rPr>
            <b/>
            <sz val="14"/>
            <color indexed="81"/>
            <rFont val="Tahoma"/>
            <family val="2"/>
          </rPr>
          <t>Note:</t>
        </r>
        <r>
          <rPr>
            <sz val="14"/>
            <color indexed="81"/>
            <rFont val="Tahoma"/>
            <family val="2"/>
          </rPr>
          <t xml:space="preserve">
These input cells allow for assumptions regarding the replacement of major equipment components, which are capitalized and depreciated rather than expensed as annual O&amp;M.   
Caution: Modelers should take into account the assumed contract duration and the project's useful life when considering whether to assume equipment replacements in the latter years of this analysis. 
Inputs should be greater than zero and less than the Project Useful Life.
</t>
        </r>
      </text>
    </comment>
    <comment ref="I71" authorId="1" shapeId="0" xr:uid="{00000000-0006-0000-0100-000079000000}">
      <text>
        <r>
          <rPr>
            <b/>
            <sz val="14"/>
            <color indexed="81"/>
            <rFont val="Tahoma"/>
            <family val="2"/>
          </rPr>
          <t>Note:</t>
        </r>
        <r>
          <rPr>
            <sz val="14"/>
            <color indexed="81"/>
            <rFont val="Tahoma"/>
            <family val="2"/>
          </rPr>
          <t xml:space="preserve">
This cell checks that the average debt service coverage ratio exceeds the user-defined minimum during the period for which debt is outstanding (see note in DSCR cell for definition and rationale for DSCR). If the test "fails", the user must choose from one of several options in order to cure this deficiency (the extent to which these options are available will be specific to each project):
1. reduce the amount of project level debt, 
2. increase the feed-in tariff rate in order to generate cash flow sufficient to meet the bank's assumed coverage requirement.  In the CREST model, </t>
        </r>
        <r>
          <rPr>
            <u/>
            <sz val="14"/>
            <color indexed="81"/>
            <rFont val="Tahoma"/>
            <family val="2"/>
          </rPr>
          <t>this is done by manually increasing the "Target After-Tax Equity IRR."</t>
        </r>
        <r>
          <rPr>
            <sz val="14"/>
            <color indexed="81"/>
            <rFont val="Tahoma"/>
            <family val="2"/>
          </rPr>
          <t xml:space="preserve">
Other possible, but less likely, mechanisms include:
3. increase the loan tenor
4. decrease the interest rate</t>
        </r>
      </text>
    </comment>
    <comment ref="S71" authorId="0" shapeId="0" xr:uid="{00000000-0006-0000-0100-00007A000000}">
      <text>
        <r>
          <rPr>
            <b/>
            <sz val="14"/>
            <color indexed="81"/>
            <rFont val="Tahoma"/>
            <family val="2"/>
          </rPr>
          <t xml:space="preserve">Note:
</t>
        </r>
        <r>
          <rPr>
            <sz val="14"/>
            <color indexed="81"/>
            <rFont val="Tahoma"/>
            <family val="2"/>
          </rPr>
          <t>The cost of (or even need for) major equipment replacements is difficult to assess, given that costs are attributable to an item that would be purchased many years from commercial operation. The input placed in this cell must be in nominal dollars -- reflecting the expected cost of the equipment in the year replaced. The model then reserves funds sufficient to pay for this replacement from operations in equal amounts until the year in which the replacement occurs.
Note: This model assumes that future equipment purchases will be depreciated on 5-yr MACRS basis.
Input must be greater than or equal to zero.</t>
        </r>
      </text>
    </comment>
    <comment ref="I72" authorId="0" shapeId="0" xr:uid="{00000000-0006-0000-0100-00007B000000}">
      <text>
        <r>
          <rPr>
            <b/>
            <sz val="14"/>
            <color indexed="81"/>
            <rFont val="Tahoma"/>
            <family val="2"/>
          </rPr>
          <t xml:space="preserve">Note:
</t>
        </r>
        <r>
          <rPr>
            <sz val="14"/>
            <color indexed="81"/>
            <rFont val="Tahoma"/>
            <family val="2"/>
          </rPr>
          <t xml:space="preserve">The portion of total project cost funded from equity investors. This cell is a calculation and not an input. It is calculated as 100% minus the "% Debt" entered above.
</t>
        </r>
      </text>
    </comment>
    <comment ref="I73" authorId="1" shapeId="0" xr:uid="{00000000-0006-0000-0100-00007C000000}">
      <text>
        <r>
          <rPr>
            <b/>
            <sz val="14"/>
            <color indexed="81"/>
            <rFont val="Tahoma"/>
            <family val="2"/>
          </rPr>
          <t>Note:</t>
        </r>
        <r>
          <rPr>
            <sz val="14"/>
            <color indexed="81"/>
            <rFont val="Tahoma"/>
            <family val="2"/>
          </rPr>
          <t xml:space="preserve">
The target after-tax equity IRR is the equity investor's cost of capital -- or "discount rate" -- and is the minimum rate of return that the project owner will seek to attain in order to justify the project compared to alternative investments.  The CREST model assumes a single equity investor taking both cash and tax benefits.  As a result, the target after-tax equity IRR entered here should represent a blend of expected returns for both cash and tax equity investments.
The user should be explicit in his or her assumption regarding the term over which the target after-tax IRR is assumed to be realized. For example, the user could elect to align the return requirement with the tariff payment duration. In this case, the project useful life should be set equal to the tariff duration in order to calculate the Cost of Energy (COE) associated with the target IRR over that period of time. 
In a second example, the user could elect to align the return requirement with the project's useful life. In this case, the user can either assume a tariff duration equal to the project life, or assume market-based revenue for the period after the tariff and before the end of the assumed project useful life.
This input cannot be less than zero.
If a project is expected to be funded either by a pool of corporate funds or back-leveraged after commercial operation, the user might elect to enter 0% in the "% Debt" cell and enter a weighted average cost of capital (WACC) in the "Target After-Tax Equity IRR" cell.
This value will be site specific but reasonable inputs are likely to fall in the range of 5%-20%</t>
        </r>
      </text>
    </comment>
    <comment ref="P73" authorId="0" shapeId="0" xr:uid="{00000000-0006-0000-0100-00007D000000}">
      <text>
        <r>
          <rPr>
            <b/>
            <sz val="8"/>
            <color indexed="81"/>
            <rFont val="Tahoma"/>
            <family val="2"/>
          </rPr>
          <t>See "unit" definitions at the bottom of this worksheet.</t>
        </r>
        <r>
          <rPr>
            <sz val="8"/>
            <color indexed="81"/>
            <rFont val="Tahoma"/>
            <family val="2"/>
          </rPr>
          <t xml:space="preserve">
</t>
        </r>
      </text>
    </comment>
    <comment ref="I74" authorId="0" shapeId="0" xr:uid="{00000000-0006-0000-0100-00007E000000}">
      <text>
        <r>
          <rPr>
            <b/>
            <sz val="14"/>
            <color indexed="81"/>
            <rFont val="Tahoma"/>
            <family val="2"/>
          </rPr>
          <t xml:space="preserve">Note:
</t>
        </r>
        <r>
          <rPr>
            <sz val="14"/>
            <color indexed="81"/>
            <rFont val="Tahoma"/>
            <family val="2"/>
          </rPr>
          <t xml:space="preserve">The weighted average cost of capital combines the after-tax cost of both equity and debt in proportion to their use, and is calculated here for reference.
</t>
        </r>
      </text>
    </comment>
    <comment ref="I75" authorId="0" shapeId="0" xr:uid="{00000000-0006-0000-0100-00007F000000}">
      <text>
        <r>
          <rPr>
            <b/>
            <sz val="14"/>
            <color indexed="81"/>
            <rFont val="Tahoma"/>
            <family val="2"/>
          </rPr>
          <t xml:space="preserve">Note:
</t>
        </r>
        <r>
          <rPr>
            <sz val="14"/>
            <color indexed="81"/>
            <rFont val="Tahoma"/>
            <family val="2"/>
          </rPr>
          <t>This cell represents the costs of both equity and debt due diligence (if applicable) and other transaction costs.
Input cannot be less than zero.</t>
        </r>
      </text>
    </comment>
    <comment ref="S75" authorId="1" shapeId="0" xr:uid="{00000000-0006-0000-0100-000080000000}">
      <text>
        <r>
          <rPr>
            <b/>
            <sz val="14"/>
            <color indexed="81"/>
            <rFont val="Tahoma"/>
            <family val="2"/>
          </rPr>
          <t xml:space="preserve">Note:
</t>
        </r>
        <r>
          <rPr>
            <sz val="14"/>
            <color indexed="81"/>
            <rFont val="Tahoma"/>
            <family val="2"/>
          </rPr>
          <t xml:space="preserve">In order to ensure that project owners have sufficient funds to decommission and remove equipment at the end of a project's life, many owners choose to create and fund a reserve account throughout the course of project. 
This input cell allows the modeler to choose whether to pay for project removal by creating and funding a reserve account over the project life by selecting "Operations" or to assume that a project's removal will be funded by selling the equipment, by selecting "Salvage".
</t>
        </r>
      </text>
    </comment>
    <comment ref="S76" authorId="0" shapeId="0" xr:uid="{00000000-0006-0000-0100-000081000000}">
      <text>
        <r>
          <rPr>
            <b/>
            <sz val="14"/>
            <color indexed="81"/>
            <rFont val="Tahoma"/>
            <family val="2"/>
          </rPr>
          <t>Note:</t>
        </r>
        <r>
          <rPr>
            <sz val="14"/>
            <color indexed="81"/>
            <rFont val="Tahoma"/>
            <family val="2"/>
          </rPr>
          <t xml:space="preserve">
This input cell allows the user to assume the creation of a reserve account. The value entered here will be accounted for in the project's cash flow, and would be funded evenly over the number of years available between the project's commercial operation and the end of its useful life.
Input cannot be less than zero.
</t>
        </r>
      </text>
    </comment>
    <comment ref="I78" authorId="0" shapeId="0" xr:uid="{00000000-0006-0000-0100-000082000000}">
      <text>
        <r>
          <rPr>
            <b/>
            <sz val="14"/>
            <color indexed="81"/>
            <rFont val="Tahoma"/>
            <family val="2"/>
          </rPr>
          <t xml:space="preserve">NOTE:
</t>
        </r>
        <r>
          <rPr>
            <sz val="14"/>
            <color indexed="81"/>
            <rFont val="Tahoma"/>
            <family val="2"/>
          </rPr>
          <t xml:space="preserve">The "sources of funding" cells summarize the amount of capital contributed from equity, debt and grants, if applicable. The sum is the same at the project's "Total Installed Cost."
</t>
        </r>
      </text>
    </comment>
    <comment ref="P78" authorId="0" shapeId="0" xr:uid="{00000000-0006-0000-0100-000083000000}">
      <text>
        <r>
          <rPr>
            <b/>
            <sz val="8"/>
            <color indexed="81"/>
            <rFont val="Tahoma"/>
            <family val="2"/>
          </rPr>
          <t>See "unit" definitions at the bottom of this worksheet.</t>
        </r>
        <r>
          <rPr>
            <sz val="8"/>
            <color indexed="81"/>
            <rFont val="Tahoma"/>
            <family val="2"/>
          </rPr>
          <t xml:space="preserve">
</t>
        </r>
      </text>
    </comment>
    <comment ref="I79" authorId="0" shapeId="0" xr:uid="{00000000-0006-0000-0100-000084000000}">
      <text>
        <r>
          <rPr>
            <b/>
            <sz val="14"/>
            <color indexed="81"/>
            <rFont val="Tahoma"/>
            <family val="2"/>
          </rPr>
          <t xml:space="preserve">NOTE:
</t>
        </r>
        <r>
          <rPr>
            <sz val="14"/>
            <color indexed="81"/>
            <rFont val="Tahoma"/>
            <family val="2"/>
          </rPr>
          <t xml:space="preserve">The "sources of funding" cells summarize the amount of capital contributed from equity, debt and grants, if applicable. The sum is the same as the project's "Total Installed Cost."
</t>
        </r>
      </text>
    </comment>
    <comment ref="I80" authorId="1" shapeId="0" xr:uid="{00000000-0006-0000-0100-000085000000}">
      <text>
        <r>
          <rPr>
            <b/>
            <sz val="14"/>
            <color indexed="81"/>
            <rFont val="Tahoma"/>
            <family val="2"/>
          </rPr>
          <t xml:space="preserve">Note:
</t>
        </r>
        <r>
          <rPr>
            <sz val="14"/>
            <color indexed="81"/>
            <rFont val="Tahoma"/>
            <family val="2"/>
          </rPr>
          <t xml:space="preserve">This cell calculates the total of all applicable grants, excluding the payment in lieu of the Federal ITC (also known as the ITC Cash Grant, or Cash Grant), if applicable.  The ITC Cash Grant is considered separately because unlike grants issued upfront and used to offset capital costs, the ITC Cash Grant is disbursed approxiamtely 60 days after the start of commercial operations and therefore becomes an integral part of the project's financing.
Where grants are treated as taxable income, this cell calculates the after-tax impact on the total cost of the project.
  </t>
        </r>
        <r>
          <rPr>
            <sz val="8"/>
            <color indexed="81"/>
            <rFont val="Tahoma"/>
            <family val="2"/>
          </rPr>
          <t xml:space="preserve">
</t>
        </r>
      </text>
    </comment>
    <comment ref="S80" authorId="0" shapeId="0" xr:uid="{00000000-0006-0000-0100-000086000000}">
      <text>
        <r>
          <rPr>
            <b/>
            <sz val="14"/>
            <color indexed="81"/>
            <rFont val="Tahoma"/>
            <family val="2"/>
          </rPr>
          <t>Note:</t>
        </r>
        <r>
          <rPr>
            <sz val="14"/>
            <color indexed="81"/>
            <rFont val="Tahoma"/>
            <family val="2"/>
          </rPr>
          <t xml:space="preserve">
Lenders typically require the project owner to establish a reserve account prior to the commencement of operations to ensure that loan repayments occur in full and on time even if the project has insufficient operating cash flow in a specific period due to lower than expected production, higher costs, or both. The size of the reserve account is typically equal to 6 months of debt service obligation.
Input cannot be less than zero.
</t>
        </r>
      </text>
    </comment>
    <comment ref="I81" authorId="0" shapeId="0" xr:uid="{00000000-0006-0000-0100-000087000000}">
      <text>
        <r>
          <rPr>
            <b/>
            <sz val="14"/>
            <color indexed="81"/>
            <rFont val="Tahoma"/>
            <family val="2"/>
          </rPr>
          <t xml:space="preserve">NOTE:
</t>
        </r>
        <r>
          <rPr>
            <sz val="14"/>
            <color indexed="81"/>
            <rFont val="Tahoma"/>
            <family val="2"/>
          </rPr>
          <t xml:space="preserve">The "sources of funding" cells summarize the amount of capital contributed from equity, debt and grants, if applicable. The sum is the same as the project's "Total Installed Cost."
</t>
        </r>
      </text>
    </comment>
    <comment ref="S81" authorId="0" shapeId="0" xr:uid="{00000000-0006-0000-0100-000088000000}">
      <text>
        <r>
          <rPr>
            <b/>
            <sz val="14"/>
            <color indexed="81"/>
            <rFont val="Tahoma"/>
            <family val="2"/>
          </rPr>
          <t>Note:</t>
        </r>
        <r>
          <rPr>
            <sz val="14"/>
            <color indexed="81"/>
            <rFont val="Tahoma"/>
            <family val="2"/>
          </rPr>
          <t xml:space="preserve">
Calculated value based on the # months of required reserve and the capital structure and associated periodic debt obligation.
</t>
        </r>
      </text>
    </comment>
    <comment ref="F83" authorId="0" shapeId="0" xr:uid="{00000000-0006-0000-0100-000089000000}">
      <text>
        <r>
          <rPr>
            <b/>
            <sz val="8"/>
            <color indexed="81"/>
            <rFont val="Tahoma"/>
            <family val="2"/>
          </rPr>
          <t>See "unit" definitions at the bottom of this worksheet.</t>
        </r>
        <r>
          <rPr>
            <sz val="8"/>
            <color indexed="81"/>
            <rFont val="Tahoma"/>
            <family val="2"/>
          </rPr>
          <t xml:space="preserve">
</t>
        </r>
      </text>
    </comment>
    <comment ref="S83" authorId="0" shapeId="0" xr:uid="{00000000-0006-0000-0100-00008A000000}">
      <text>
        <r>
          <rPr>
            <b/>
            <sz val="14"/>
            <color indexed="81"/>
            <rFont val="Tahoma"/>
            <family val="2"/>
          </rPr>
          <t>Note:</t>
        </r>
        <r>
          <rPr>
            <sz val="14"/>
            <color indexed="81"/>
            <rFont val="Tahoma"/>
            <family val="2"/>
          </rPr>
          <t xml:space="preserve">
Lenders typically require the project owner to establish a reserve account prior to the commencement of operations to ensure that all O&amp;M expenses can be met even if the project has insufficient operating cash flow in a specific period due to lower than expected production, higher costs, or both. The size of the reserve account is typically 3 to 6 months of O&amp;M expenses, and includes all categories of O&amp;M expenses.
Input cannot be less than zero.
</t>
        </r>
      </text>
    </comment>
    <comment ref="I84" authorId="0" shapeId="0" xr:uid="{00000000-0006-0000-0100-00008B000000}">
      <text>
        <r>
          <rPr>
            <b/>
            <sz val="14"/>
            <color indexed="81"/>
            <rFont val="Tahoma"/>
            <family val="2"/>
          </rPr>
          <t xml:space="preserve">Note:
</t>
        </r>
        <r>
          <rPr>
            <sz val="14"/>
            <color indexed="81"/>
            <rFont val="Tahoma"/>
            <family val="2"/>
          </rPr>
          <t xml:space="preserve">Defines whether the project owner is a taxable or non-taxable entity. This determines the treatment of income taxes and other tax-related items.
</t>
        </r>
      </text>
    </comment>
    <comment ref="S84" authorId="0" shapeId="0" xr:uid="{00000000-0006-0000-0100-00008C000000}">
      <text>
        <r>
          <rPr>
            <b/>
            <sz val="14"/>
            <color indexed="81"/>
            <rFont val="Tahoma"/>
            <family val="2"/>
          </rPr>
          <t>Note:</t>
        </r>
        <r>
          <rPr>
            <sz val="14"/>
            <color indexed="81"/>
            <rFont val="Tahoma"/>
            <family val="2"/>
          </rPr>
          <t xml:space="preserve">
Calculated value based on the # months of required reserve and all annual operating expenses.
</t>
        </r>
      </text>
    </comment>
    <comment ref="I85" authorId="0" shapeId="0" xr:uid="{00000000-0006-0000-0100-00008D000000}">
      <text>
        <r>
          <rPr>
            <b/>
            <sz val="14"/>
            <color indexed="81"/>
            <rFont val="Tahoma"/>
            <family val="2"/>
          </rPr>
          <t xml:space="preserve">Note:
</t>
        </r>
        <r>
          <rPr>
            <sz val="14"/>
            <color indexed="81"/>
            <rFont val="Tahoma"/>
            <family val="2"/>
          </rPr>
          <t xml:space="preserve">Defines the project's federal income tax rate, if applicable.
Input cannot be less than zero.
</t>
        </r>
      </text>
    </comment>
    <comment ref="S85" authorId="0" shapeId="0" xr:uid="{00000000-0006-0000-0100-00008E000000}">
      <text>
        <r>
          <rPr>
            <b/>
            <sz val="14"/>
            <color indexed="81"/>
            <rFont val="Tahoma"/>
            <family val="2"/>
          </rPr>
          <t>Note:</t>
        </r>
        <r>
          <rPr>
            <sz val="14"/>
            <color indexed="81"/>
            <rFont val="Tahoma"/>
            <family val="2"/>
          </rPr>
          <t xml:space="preserve">
Unused reserves earn interest at this rate. Input cannot be less than zero.
</t>
        </r>
      </text>
    </comment>
    <comment ref="I86" authorId="0" shapeId="0" xr:uid="{00000000-0006-0000-0100-00008F000000}">
      <text>
        <r>
          <rPr>
            <b/>
            <sz val="14"/>
            <color indexed="81"/>
            <rFont val="Tahoma"/>
            <family val="2"/>
          </rPr>
          <t xml:space="preserve">Note:
</t>
        </r>
        <r>
          <rPr>
            <sz val="14"/>
            <color indexed="81"/>
            <rFont val="Tahoma"/>
            <family val="2"/>
          </rPr>
          <t xml:space="preserve">Defines whether depreciation and PTC benefits are monetized in the period in which they are generated ("as generated" option) or whether these benefits must be delayed until the project has sufficient tax liability to use these benefits without relying on a 3rd-party investor with tax liability external to the project ("carried forward" method).
</t>
        </r>
      </text>
    </comment>
    <comment ref="I87" authorId="0" shapeId="0" xr:uid="{00000000-0006-0000-0100-000090000000}">
      <text>
        <r>
          <rPr>
            <b/>
            <sz val="14"/>
            <color indexed="81"/>
            <rFont val="Tahoma"/>
            <family val="2"/>
          </rPr>
          <t xml:space="preserve">Note:
</t>
        </r>
        <r>
          <rPr>
            <sz val="14"/>
            <color indexed="81"/>
            <rFont val="Tahoma"/>
            <family val="2"/>
          </rPr>
          <t xml:space="preserve">Defines the project's state income tax rate, if applicable.
Input cannot be less than zero.
</t>
        </r>
      </text>
    </comment>
    <comment ref="I88" authorId="0" shapeId="0" xr:uid="{00000000-0006-0000-0100-000091000000}">
      <text>
        <r>
          <rPr>
            <b/>
            <sz val="14"/>
            <color indexed="81"/>
            <rFont val="Tahoma"/>
            <family val="2"/>
          </rPr>
          <t xml:space="preserve">Note:
</t>
        </r>
        <r>
          <rPr>
            <sz val="14"/>
            <color indexed="81"/>
            <rFont val="Tahoma"/>
            <family val="2"/>
          </rPr>
          <t xml:space="preserve">Defines whether depreciation and PTC benefits are monetized in the period in which they are generated ("as generated" option) or whether these benefits must be delayed until the project has sufficient tax liability to use these benefits without relying on a 3rd-party investor with tax liability external to the project ("carried forward" method).
</t>
        </r>
      </text>
    </comment>
    <comment ref="S88" authorId="0" shapeId="0" xr:uid="{00000000-0006-0000-0100-000092000000}">
      <text>
        <r>
          <rPr>
            <b/>
            <sz val="14"/>
            <color indexed="81"/>
            <rFont val="Tahoma"/>
            <family val="2"/>
          </rPr>
          <t>Note:</t>
        </r>
        <r>
          <rPr>
            <sz val="14"/>
            <color indexed="81"/>
            <rFont val="Tahoma"/>
            <family val="2"/>
          </rPr>
          <t xml:space="preserve">
To qualify for Bonus Depreciation the property must have a recovery period of 20 years or less (under normal federal tax depreciation rules), and the project must commence operation in the year in which bonus depreciation is in effect and under the ownership of the entity claiming the deduction. 
For qualifying projects, the owner is entitled to deduct 50% of the adjusted basis of the property during the tax year the property is first placed in service. The remaining 50% of the adjusted basis of the property is depreciated over the ordinary MACRS depreciation schedule. The bonus depreciation rules do not override the depreciation limit applicable to projects qualifying for the federal ITC. Before calculating depreciation for such a project, including any bonus depreciation, the adjusted basis of the project must be reduced by one-half of the amount of the ITC for which the project qualifies. 
</t>
        </r>
      </text>
    </comment>
    <comment ref="I89" authorId="0" shapeId="0" xr:uid="{00000000-0006-0000-0100-000093000000}">
      <text>
        <r>
          <rPr>
            <b/>
            <sz val="14"/>
            <color indexed="81"/>
            <rFont val="Tahoma"/>
            <family val="2"/>
          </rPr>
          <t xml:space="preserve">Note:
</t>
        </r>
        <r>
          <rPr>
            <sz val="14"/>
            <color indexed="81"/>
            <rFont val="Tahoma"/>
            <family val="2"/>
          </rPr>
          <t xml:space="preserve">Takes into account the interaction between federal and state tax rates. This is a calculated value.
</t>
        </r>
      </text>
    </comment>
    <comment ref="S89" authorId="0" shapeId="0" xr:uid="{00000000-0006-0000-0100-000094000000}">
      <text>
        <r>
          <rPr>
            <b/>
            <sz val="14"/>
            <color indexed="81"/>
            <rFont val="Tahoma"/>
            <family val="2"/>
          </rPr>
          <t>Note:</t>
        </r>
        <r>
          <rPr>
            <sz val="14"/>
            <color indexed="81"/>
            <rFont val="Tahoma"/>
            <family val="2"/>
          </rPr>
          <t xml:space="preserve">
This input allows the user to define the bonus depreciation % applied in Year 1, if applicable.  Historically, federal bonus depreciation has been 50% of the eligible cost basis (after taking into account reductions in such cost basis for the ITC, if applicable).  
Input cannot be less than zero.
</t>
        </r>
      </text>
    </comment>
    <comment ref="I90" authorId="0" shapeId="0" xr:uid="{00000000-0006-0000-0100-000095000000}">
      <text>
        <r>
          <rPr>
            <b/>
            <sz val="14"/>
            <color indexed="81"/>
            <rFont val="Tahoma"/>
            <family val="2"/>
          </rPr>
          <t xml:space="preserve">Note:
</t>
        </r>
        <r>
          <rPr>
            <sz val="14"/>
            <color indexed="81"/>
            <rFont val="Tahoma"/>
            <family val="2"/>
          </rPr>
          <t>Depreciation accounts for the "use" of equipment for tax purposes. The depreciation inputs are provided in the table to the right and on the Complex Capital Costs tab when this option is selected.</t>
        </r>
      </text>
    </comment>
    <comment ref="AB92" authorId="0" shapeId="0" xr:uid="{00000000-0006-0000-0100-000096000000}">
      <text>
        <r>
          <rPr>
            <b/>
            <sz val="14"/>
            <color indexed="81"/>
            <rFont val="Tahoma"/>
            <family val="2"/>
          </rPr>
          <t>Note:</t>
        </r>
        <r>
          <rPr>
            <sz val="14"/>
            <color indexed="81"/>
            <rFont val="Tahoma"/>
            <family val="2"/>
          </rPr>
          <t xml:space="preserve">
When the "Simple" capital cost option is selected, the depreciation of total project costs is divided among the classifications using this row. The depreciation options associated with other levels of cost detail will be hidden.
</t>
        </r>
        <r>
          <rPr>
            <b/>
            <sz val="14"/>
            <color indexed="81"/>
            <rFont val="Tahoma"/>
            <family val="2"/>
          </rPr>
          <t xml:space="preserve">This row must sum to 100%.
</t>
        </r>
      </text>
    </comment>
    <comment ref="AB93" authorId="0" shapeId="0" xr:uid="{00000000-0006-0000-0100-000097000000}">
      <text>
        <r>
          <rPr>
            <b/>
            <sz val="14"/>
            <color indexed="81"/>
            <rFont val="Tahoma"/>
            <family val="2"/>
          </rPr>
          <t>Note:</t>
        </r>
        <r>
          <rPr>
            <sz val="14"/>
            <color indexed="81"/>
            <rFont val="Tahoma"/>
            <family val="2"/>
          </rPr>
          <t xml:space="preserve">
When the "Intermediate" capital cost option is selected, the allocation of the specified cost category across the depreciation classifications is done using this row. The depreciation options associated with other levels of cost detail will be hidden.
</t>
        </r>
        <r>
          <rPr>
            <b/>
            <sz val="14"/>
            <color indexed="81"/>
            <rFont val="Tahoma"/>
            <family val="2"/>
          </rPr>
          <t xml:space="preserve">This row must sum to 100%.
</t>
        </r>
      </text>
    </comment>
    <comment ref="AB94" authorId="0" shapeId="0" xr:uid="{00000000-0006-0000-0100-000098000000}">
      <text>
        <r>
          <rPr>
            <b/>
            <sz val="14"/>
            <color indexed="81"/>
            <rFont val="Tahoma"/>
            <family val="2"/>
          </rPr>
          <t>Note:</t>
        </r>
        <r>
          <rPr>
            <sz val="14"/>
            <color indexed="81"/>
            <rFont val="Tahoma"/>
            <family val="2"/>
          </rPr>
          <t xml:space="preserve">
When the "Intermediate" capital cost option is selected, the allocation of the specified cost category across the depreciation classifications is done using this row. The depreciation options associated with other levels of cost detail will be hidden.
</t>
        </r>
        <r>
          <rPr>
            <b/>
            <sz val="14"/>
            <color indexed="81"/>
            <rFont val="Tahoma"/>
            <family val="2"/>
          </rPr>
          <t xml:space="preserve">This row must sum to 100%.
</t>
        </r>
      </text>
    </comment>
    <comment ref="AB95" authorId="0" shapeId="0" xr:uid="{00000000-0006-0000-0100-000099000000}">
      <text>
        <r>
          <rPr>
            <b/>
            <sz val="14"/>
            <color indexed="81"/>
            <rFont val="Tahoma"/>
            <family val="2"/>
          </rPr>
          <t>Note:</t>
        </r>
        <r>
          <rPr>
            <sz val="14"/>
            <color indexed="81"/>
            <rFont val="Tahoma"/>
            <family val="2"/>
          </rPr>
          <t xml:space="preserve">
When the "Intermediate" capital cost option is selected, the allocation of the specified cost category across the depreciation classifications is done using this row. The depreciation options associated with other levels of cost detail will be hidden.
</t>
        </r>
        <r>
          <rPr>
            <b/>
            <sz val="14"/>
            <color indexed="81"/>
            <rFont val="Tahoma"/>
            <family val="2"/>
          </rPr>
          <t xml:space="preserve">This row must sum to 100%.
</t>
        </r>
      </text>
    </comment>
    <comment ref="AB96" authorId="0" shapeId="0" xr:uid="{00000000-0006-0000-0100-00009A000000}">
      <text>
        <r>
          <rPr>
            <b/>
            <sz val="14"/>
            <color indexed="81"/>
            <rFont val="Tahoma"/>
            <family val="2"/>
          </rPr>
          <t>Note:</t>
        </r>
        <r>
          <rPr>
            <sz val="14"/>
            <color indexed="81"/>
            <rFont val="Tahoma"/>
            <family val="2"/>
          </rPr>
          <t xml:space="preserve">
When the "Intermediate" capital cost option is selected, the allocation of the specified cost category across the depreciation classifications is done using this row. The depreciation options associated with other levels of cost detail will be hidden.
</t>
        </r>
        <r>
          <rPr>
            <b/>
            <sz val="14"/>
            <color indexed="81"/>
            <rFont val="Tahoma"/>
            <family val="2"/>
          </rPr>
          <t xml:space="preserve">This row must sum to 100%.
</t>
        </r>
      </text>
    </comment>
    <comment ref="AB97" authorId="0" shapeId="0" xr:uid="{00000000-0006-0000-0100-00009B000000}">
      <text>
        <r>
          <rPr>
            <b/>
            <sz val="14"/>
            <color indexed="81"/>
            <rFont val="Tahoma"/>
            <family val="2"/>
          </rPr>
          <t>Note:</t>
        </r>
        <r>
          <rPr>
            <sz val="14"/>
            <color indexed="81"/>
            <rFont val="Tahoma"/>
            <family val="2"/>
          </rPr>
          <t xml:space="preserve">
When the "Intermediate" capital cost option is selected, the allocation of the specified cost category across the depreciation classifications is done using this row. The depreciation options associated with other levels of cost detail will be hidden.
</t>
        </r>
        <r>
          <rPr>
            <b/>
            <sz val="14"/>
            <color indexed="81"/>
            <rFont val="Tahoma"/>
            <family val="2"/>
          </rPr>
          <t xml:space="preserve">This row must sum to 100%.
</t>
        </r>
      </text>
    </comment>
    <comment ref="AB98" authorId="0" shapeId="0" xr:uid="{00000000-0006-0000-0100-00009C000000}">
      <text>
        <r>
          <rPr>
            <b/>
            <sz val="14"/>
            <color indexed="81"/>
            <rFont val="Tahoma"/>
            <family val="2"/>
          </rPr>
          <t>Note:</t>
        </r>
        <r>
          <rPr>
            <sz val="14"/>
            <color indexed="81"/>
            <rFont val="Tahoma"/>
            <family val="2"/>
          </rPr>
          <t xml:space="preserve">
When the "Complex" capital cost option is selected, each line items is assigned its own depreciation classification using a drop-down menu on the Complex Capital Costs tab.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Jason Gifford</author>
  </authors>
  <commentList>
    <comment ref="B5" authorId="0" shapeId="0" xr:uid="{00000000-0006-0000-0200-000001000000}">
      <text>
        <r>
          <rPr>
            <b/>
            <sz val="12"/>
            <color indexed="81"/>
            <rFont val="Tahoma"/>
            <family val="2"/>
          </rPr>
          <t>Note:</t>
        </r>
        <r>
          <rPr>
            <sz val="12"/>
            <color indexed="81"/>
            <rFont val="Tahoma"/>
            <family val="2"/>
          </rPr>
          <t xml:space="preserve">
One of the CREST model development objectives was to incorporate maximum functionality and flexibility, while maintaining a macro-free file.
As a result, the model calculates using a series of three data tables which converge onto the COE within several one-hundredths of a cent.
Because the three data tables rely on one another to calculate the COE, and the "Automatic" calculation setting only re-calculates the first data table under certain circumstances, it is sometimes necessary to press F9 more than once in order for the calculation to cascade through each of the three data tables.
If "#N/A" appears, F9 should be pressed until the calculated COE achieves it's final value.
</t>
        </r>
      </text>
    </comment>
    <comment ref="B14" authorId="0" shapeId="0" xr:uid="{00000000-0006-0000-0200-000002000000}">
      <text>
        <r>
          <rPr>
            <b/>
            <sz val="14"/>
            <color indexed="81"/>
            <rFont val="Tahoma"/>
            <family val="2"/>
          </rPr>
          <t xml:space="preserve">NOTE:
</t>
        </r>
        <r>
          <rPr>
            <sz val="14"/>
            <color indexed="81"/>
            <rFont val="Tahoma"/>
            <family val="2"/>
          </rPr>
          <t>The Nominal Levelized Cost of Energy (LCOE)
is the single, fixed rate with the same economic impact over the life of the project as the Year-One value escalated over time.  When a 0% escalator is assumed, the "Year-One COE" and "LCOE" are the same.
Both the Year One COE and the LCOE reflect the tariff rate necessary to achieve the project investor's required after tax rate of return, taking into account all applicable incentives and any market value of production assumed after the tariff expires and before the end of the project's useful life.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Jason Gifford</author>
  </authors>
  <commentList>
    <comment ref="C4" authorId="0" shapeId="0" xr:uid="{00000000-0006-0000-0300-000001000000}">
      <text>
        <r>
          <rPr>
            <b/>
            <sz val="14"/>
            <color indexed="81"/>
            <rFont val="Tahoma"/>
            <family val="2"/>
          </rPr>
          <t xml:space="preserve">Note:
</t>
        </r>
        <r>
          <rPr>
            <sz val="14"/>
            <color indexed="81"/>
            <rFont val="Tahoma"/>
            <family val="2"/>
          </rPr>
          <t>During the FIT contract period, this column represents the feed-in tariff rate, including escalation if applicable.  After the FIT contract ends, this column represents the value of energy, capacity, renewable energy credits, or other attributes as defined and enterred by the user, if applicable.</t>
        </r>
      </text>
    </comment>
    <comment ref="D4" authorId="0" shapeId="0" xr:uid="{00000000-0006-0000-0300-000002000000}">
      <text>
        <r>
          <rPr>
            <sz val="8"/>
            <color indexed="81"/>
            <rFont val="Tahoma"/>
            <family val="2"/>
          </rPr>
          <t xml:space="preserve">
</t>
        </r>
        <r>
          <rPr>
            <b/>
            <sz val="14"/>
            <color indexed="81"/>
            <rFont val="Tahoma"/>
            <family val="2"/>
          </rPr>
          <t>Note:</t>
        </r>
        <r>
          <rPr>
            <sz val="8"/>
            <color indexed="81"/>
            <rFont val="Tahoma"/>
            <family val="2"/>
          </rPr>
          <t xml:space="preserve">
</t>
        </r>
        <r>
          <rPr>
            <sz val="14"/>
            <color indexed="81"/>
            <rFont val="Tahoma"/>
            <family val="2"/>
          </rPr>
          <t>includes performance-based incentives.</t>
        </r>
      </text>
    </comment>
    <comment ref="E4" authorId="0" shapeId="0" xr:uid="{00000000-0006-0000-0300-000003000000}">
      <text>
        <r>
          <rPr>
            <b/>
            <sz val="14"/>
            <color indexed="81"/>
            <rFont val="Tahoma"/>
            <family val="2"/>
          </rPr>
          <t>Note:</t>
        </r>
        <r>
          <rPr>
            <sz val="14"/>
            <color indexed="81"/>
            <rFont val="Tahoma"/>
            <family val="2"/>
          </rPr>
          <t xml:space="preserve">
Includes all land lease, royalty and local tax or PILOT.
</t>
        </r>
      </text>
    </comment>
    <comment ref="F4" authorId="0" shapeId="0" xr:uid="{00000000-0006-0000-0300-000004000000}">
      <text>
        <r>
          <rPr>
            <b/>
            <sz val="12"/>
            <color indexed="81"/>
            <rFont val="Tahoma"/>
            <family val="2"/>
          </rPr>
          <t xml:space="preserve">Note:
</t>
        </r>
        <r>
          <rPr>
            <sz val="12"/>
            <color indexed="81"/>
            <rFont val="Tahoma"/>
            <family val="2"/>
          </rPr>
          <t>Includes principle and interest, if debt is used.</t>
        </r>
      </text>
    </comment>
    <comment ref="G4" authorId="0" shapeId="0" xr:uid="{00000000-0006-0000-0300-000005000000}">
      <text>
        <r>
          <rPr>
            <b/>
            <sz val="14"/>
            <color indexed="81"/>
            <rFont val="Tahoma"/>
            <family val="2"/>
          </rPr>
          <t xml:space="preserve">Note:
</t>
        </r>
        <r>
          <rPr>
            <sz val="14"/>
            <color indexed="81"/>
            <rFont val="Tahoma"/>
            <family val="2"/>
          </rPr>
          <t xml:space="preserve">Positive values denote net withdrawal from reserve accounts as reserved capital is returned to project owners.
</t>
        </r>
      </text>
    </comment>
    <comment ref="M4" authorId="0" shapeId="0" xr:uid="{00000000-0006-0000-0300-000006000000}">
      <text>
        <r>
          <rPr>
            <b/>
            <sz val="14"/>
            <color indexed="81"/>
            <rFont val="Tahoma"/>
            <family val="2"/>
          </rPr>
          <t xml:space="preserve">Note:
</t>
        </r>
        <r>
          <rPr>
            <sz val="14"/>
            <color indexed="81"/>
            <rFont val="Tahoma"/>
            <family val="2"/>
          </rPr>
          <t xml:space="preserve">This is the annual cash flow disbursed to the project's equity investors, after tax.
</t>
        </r>
      </text>
    </comment>
    <comment ref="N4" authorId="0" shapeId="0" xr:uid="{00000000-0006-0000-0300-000007000000}">
      <text>
        <r>
          <rPr>
            <b/>
            <sz val="14"/>
            <color indexed="81"/>
            <rFont val="Tahoma"/>
            <family val="2"/>
          </rPr>
          <t xml:space="preserve">Note:
</t>
        </r>
        <r>
          <rPr>
            <sz val="14"/>
            <color indexed="81"/>
            <rFont val="Tahoma"/>
            <family val="2"/>
          </rPr>
          <t xml:space="preserve">This is the cumulative benefit of annual net cash flows.  The year in which the values become positive represents the return "of" the equity investor's original cash contribution.  The equity investor does not earn its return "on" investment until the required rate is met - which in this model will be in the final project year.
</t>
        </r>
      </text>
    </comment>
    <comment ref="O4" authorId="0" shapeId="0" xr:uid="{00000000-0006-0000-0300-000008000000}">
      <text>
        <r>
          <rPr>
            <b/>
            <sz val="14"/>
            <color indexed="81"/>
            <rFont val="Tahoma"/>
            <family val="2"/>
          </rPr>
          <t xml:space="preserve">Note:
</t>
        </r>
        <r>
          <rPr>
            <sz val="14"/>
            <color indexed="81"/>
            <rFont val="Tahoma"/>
            <family val="2"/>
          </rPr>
          <t xml:space="preserve">This is a running tally on the equity investor's after tax internal rate of return.
</t>
        </r>
      </text>
    </comment>
    <comment ref="P4" authorId="0" shapeId="0" xr:uid="{00000000-0006-0000-0300-000009000000}">
      <text>
        <r>
          <rPr>
            <b/>
            <sz val="14"/>
            <color indexed="81"/>
            <rFont val="Tahoma"/>
            <family val="2"/>
          </rPr>
          <t xml:space="preserve">Note:
</t>
        </r>
        <r>
          <rPr>
            <sz val="14"/>
            <color indexed="81"/>
            <rFont val="Tahoma"/>
            <family val="2"/>
          </rPr>
          <t xml:space="preserve">The Debt Service Coverage Ratio is calculated by dividing the sum of the annual principal and interest payment into that year's operating cash flow.  Lenders will require the DSCR to demonstrate the project's ability to easily meet its annual debt service obligation.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Jason Gifford</author>
  </authors>
  <commentList>
    <comment ref="E72" authorId="0" shapeId="0" xr:uid="{00000000-0006-0000-0400-000001000000}">
      <text>
        <r>
          <rPr>
            <b/>
            <sz val="14"/>
            <color indexed="81"/>
            <rFont val="Tahoma"/>
            <family val="2"/>
          </rPr>
          <t xml:space="preserve">NOTE:
</t>
        </r>
        <r>
          <rPr>
            <sz val="14"/>
            <color indexed="81"/>
            <rFont val="Tahoma"/>
            <family val="2"/>
          </rPr>
          <t>If operating loss carry-forward is NOT applied, the values in the "Taxable Income" lines should be the same.</t>
        </r>
        <r>
          <rPr>
            <sz val="8"/>
            <color indexed="81"/>
            <rFont val="Tahoma"/>
            <family val="2"/>
          </rPr>
          <t xml:space="preserve">
</t>
        </r>
      </text>
    </comment>
    <comment ref="C110" authorId="0" shapeId="0" xr:uid="{00000000-0006-0000-0400-000002000000}">
      <text>
        <r>
          <rPr>
            <b/>
            <sz val="14"/>
            <color indexed="81"/>
            <rFont val="Tahoma"/>
            <family val="2"/>
          </rPr>
          <t>Note:</t>
        </r>
        <r>
          <rPr>
            <sz val="14"/>
            <color indexed="81"/>
            <rFont val="Tahoma"/>
            <family val="2"/>
          </rPr>
          <t xml:space="preserve">
Adjustments include (if applicable): reduction of cost basis by 50% of ITC (or ITC Cash Grant), reduction of cost basis for other non-taxable grants, and allocation of Bonus Depreciation. </t>
        </r>
      </text>
    </comment>
    <comment ref="E110" authorId="0" shapeId="0" xr:uid="{00000000-0006-0000-0400-000003000000}">
      <text>
        <r>
          <rPr>
            <b/>
            <sz val="14"/>
            <color indexed="81"/>
            <rFont val="Tahoma"/>
            <family val="2"/>
          </rPr>
          <t xml:space="preserve">Note:
</t>
        </r>
        <r>
          <rPr>
            <sz val="14"/>
            <color indexed="81"/>
            <rFont val="Tahoma"/>
            <family val="2"/>
          </rPr>
          <t xml:space="preserve">Adjustments include (if applicable): reduction of cost basis by 50% of ITC (or ITC Cash Grant), reduction of cost basis for other non-taxable grants, and allocation of Bonus Depreciation. </t>
        </r>
      </text>
    </comment>
    <comment ref="G191" authorId="0" shapeId="0" xr:uid="{00000000-0006-0000-0400-000004000000}">
      <text>
        <r>
          <rPr>
            <b/>
            <sz val="12"/>
            <color indexed="81"/>
            <rFont val="Tahoma"/>
            <family val="2"/>
          </rPr>
          <t>Note:</t>
        </r>
        <r>
          <rPr>
            <sz val="12"/>
            <color indexed="81"/>
            <rFont val="Tahoma"/>
            <family val="2"/>
          </rPr>
          <t xml:space="preserve">
ITC earned in first quarter of operation assumed eligible to offset tax on state income taxes saved in first operating year, when applicable. Remainder of ITC carried forward.
</t>
        </r>
      </text>
    </comment>
    <comment ref="B218" authorId="0" shapeId="0" xr:uid="{00000000-0006-0000-0400-000005000000}">
      <text>
        <r>
          <rPr>
            <sz val="14"/>
            <color indexed="81"/>
            <rFont val="Tahoma"/>
            <family val="2"/>
          </rPr>
          <t>If decommissioning paid for through operations (e.g. a decommissioning reserve account) then the "Ending Balance" in the project's final operating year should equal the total decommission reserve requirement specified on the inputs tab; if decommissioning is paid for from the salvage value of the equipment, then the "Ending Balance" in the project's final operating year should be zero.</t>
        </r>
      </text>
    </comment>
  </commentList>
</comments>
</file>

<file path=xl/sharedStrings.xml><?xml version="1.0" encoding="utf-8"?>
<sst xmlns="http://schemas.openxmlformats.org/spreadsheetml/2006/main" count="1075" uniqueCount="488">
  <si>
    <t>$</t>
  </si>
  <si>
    <t>%</t>
  </si>
  <si>
    <t>kWh</t>
  </si>
  <si>
    <t>years</t>
  </si>
  <si>
    <t>Construction Period</t>
  </si>
  <si>
    <t>Federal Income Tax Rate</t>
  </si>
  <si>
    <t>State Income Tax Rate</t>
  </si>
  <si>
    <t>?</t>
  </si>
  <si>
    <t>Select Cost Level of Detail</t>
  </si>
  <si>
    <t>Operations &amp; Maintenance</t>
  </si>
  <si>
    <t>$/yr</t>
  </si>
  <si>
    <t>Operating Expenses</t>
  </si>
  <si>
    <t>Yes</t>
  </si>
  <si>
    <t>Technology Options</t>
  </si>
  <si>
    <t>Project Size and Performance</t>
  </si>
  <si>
    <t>Is owner a taxable entity?</t>
  </si>
  <si>
    <t>ITC utilization factor, if applicable</t>
  </si>
  <si>
    <t>Notes</t>
  </si>
  <si>
    <t>Check</t>
  </si>
  <si>
    <t>5-year MACRS</t>
  </si>
  <si>
    <t>15-year MACRS</t>
  </si>
  <si>
    <t>15-year SL</t>
  </si>
  <si>
    <t>20-year SL</t>
  </si>
  <si>
    <t>Non-Depreciable</t>
  </si>
  <si>
    <t>Federal Incentives</t>
  </si>
  <si>
    <t>Utilization Factor, if applicable</t>
  </si>
  <si>
    <t>Cost Category</t>
  </si>
  <si>
    <t>year</t>
  </si>
  <si>
    <t>Generator Nameplate Capacity</t>
  </si>
  <si>
    <t>Effective Income Tax Rate</t>
  </si>
  <si>
    <t>State ITC realization period</t>
  </si>
  <si>
    <t>yrs</t>
  </si>
  <si>
    <t>PBI Duration</t>
  </si>
  <si>
    <t>Permanent Financing</t>
  </si>
  <si>
    <t>Interest Rate (Annual)</t>
  </si>
  <si>
    <t>months</t>
  </si>
  <si>
    <t>Interest During Construction</t>
  </si>
  <si>
    <t>Initial Funding of Reserve Accounts</t>
  </si>
  <si>
    <t>Debt Service Reserve</t>
  </si>
  <si>
    <t># of months of O&amp;M Expense</t>
  </si>
  <si>
    <t>Initial O&amp;M and WC Reserve</t>
  </si>
  <si>
    <t>Initial Debt Service Reserve</t>
  </si>
  <si>
    <t># of months of Debt Service</t>
  </si>
  <si>
    <t>Decommissioning Reserve</t>
  </si>
  <si>
    <t>Reserves Funded from Operations</t>
  </si>
  <si>
    <t>Fund from Operations or Salvage Value?</t>
  </si>
  <si>
    <t>Reserve Requirement</t>
  </si>
  <si>
    <t>Lender's Fee (% of total borrowing)</t>
  </si>
  <si>
    <t>Other Equity &amp; Debt Closing Costs</t>
  </si>
  <si>
    <t>Inputs Summary</t>
  </si>
  <si>
    <t>Outputs Summary</t>
  </si>
  <si>
    <t>Years</t>
  </si>
  <si>
    <t>¢/kWh</t>
  </si>
  <si>
    <t>Annual Project Cash Flows, Returns &amp; Other Metrics</t>
  </si>
  <si>
    <t>Revenue</t>
  </si>
  <si>
    <t>Year</t>
  </si>
  <si>
    <t>Cumulative Cash Flow</t>
  </si>
  <si>
    <t>After Tax IRR</t>
  </si>
  <si>
    <t>Debt Service</t>
  </si>
  <si>
    <t>Coverage</t>
  </si>
  <si>
    <t>Current Model Run</t>
  </si>
  <si>
    <t>units</t>
  </si>
  <si>
    <t>O&amp;M Reserve/Working Capital</t>
  </si>
  <si>
    <t>1st Equipment Replacement</t>
  </si>
  <si>
    <t xml:space="preserve">2nd Equipment Replacement </t>
  </si>
  <si>
    <t>Insurance, Yr 1 (% of Total Cost)</t>
  </si>
  <si>
    <t>COD</t>
  </si>
  <si>
    <t>Production Degradation Factor</t>
  </si>
  <si>
    <t>Project Expenses</t>
  </si>
  <si>
    <t>Project Administration</t>
  </si>
  <si>
    <t>Insurance</t>
  </si>
  <si>
    <t>Operating Income After Interest Expense</t>
  </si>
  <si>
    <t>Pre-Tax Cash Flow to Equity</t>
  </si>
  <si>
    <t>Project Cash Flows</t>
  </si>
  <si>
    <t>Running IRR (Cash Only)</t>
  </si>
  <si>
    <t>Supporting Calculations</t>
  </si>
  <si>
    <t>5 Year MACRS</t>
  </si>
  <si>
    <t>15 Year MACRS</t>
  </si>
  <si>
    <t>20 Year MACRS</t>
  </si>
  <si>
    <t>20 Year SL</t>
  </si>
  <si>
    <t>39 Year SL</t>
  </si>
  <si>
    <t>Total Project Cost, adj for ITC/Grant if applicable</t>
  </si>
  <si>
    <t xml:space="preserve">Total  </t>
  </si>
  <si>
    <t xml:space="preserve">Debt Service:            </t>
  </si>
  <si>
    <t>Size of Debt</t>
  </si>
  <si>
    <t>Debt Sizing (Defined Capital Structure Method)</t>
  </si>
  <si>
    <t>Installed Cost (excluding cost of financing)</t>
  </si>
  <si>
    <t>Defined Debt-to-Total-Capital</t>
  </si>
  <si>
    <t>Beginning Balance</t>
  </si>
  <si>
    <t>Drawdowns</t>
  </si>
  <si>
    <t>Ending Balance</t>
  </si>
  <si>
    <t>Interest</t>
  </si>
  <si>
    <t>Principal</t>
  </si>
  <si>
    <t>Structured Debt Service Payment</t>
  </si>
  <si>
    <t>Depreciation Allocation</t>
  </si>
  <si>
    <t>% Eligible for ITC</t>
  </si>
  <si>
    <t>placeholder</t>
  </si>
  <si>
    <t>Click Here to Return to Inputs Worksheet</t>
  </si>
  <si>
    <t>Reserves &amp; Financing Costs</t>
  </si>
  <si>
    <t>Variable O&amp;M Expense, Yr 1</t>
  </si>
  <si>
    <t xml:space="preserve">¢/kWh </t>
  </si>
  <si>
    <t>see table ==&gt;</t>
  </si>
  <si>
    <t>Tariff Rate &amp; Cash Incentives</t>
  </si>
  <si>
    <t>Percentage of Tariff Escalated</t>
  </si>
  <si>
    <t>Tariff Rate Escalator, if applicable</t>
  </si>
  <si>
    <t>Revenue from Tariff</t>
  </si>
  <si>
    <t>Federal Cash Incentive Rate</t>
  </si>
  <si>
    <t xml:space="preserve">Federal Cash Incentive  </t>
  </si>
  <si>
    <t>State Cash Incentive Rate</t>
  </si>
  <si>
    <t xml:space="preserve">State Cash Incentive  </t>
  </si>
  <si>
    <t>Operating Expense Inflation Factor</t>
  </si>
  <si>
    <t>Fixed O&amp;M Expense</t>
  </si>
  <si>
    <t>Variable O&amp;M Expense</t>
  </si>
  <si>
    <t>Property Tax or Payment in Lieu of Taxes (PILOT)</t>
  </si>
  <si>
    <t>Royalties</t>
  </si>
  <si>
    <t>Royalties (% of revenue)</t>
  </si>
  <si>
    <t>Project Revenue, All Sources</t>
  </si>
  <si>
    <t xml:space="preserve">Total Operating Expenses </t>
  </si>
  <si>
    <t>EBITDA (Operating Income)</t>
  </si>
  <si>
    <t>Principal Repayments</t>
  </si>
  <si>
    <t>Loan Amortization</t>
  </si>
  <si>
    <t xml:space="preserve">Loan Repayment </t>
  </si>
  <si>
    <t>Repayment of Loan Principal</t>
  </si>
  <si>
    <t>Loan Interest Expense</t>
  </si>
  <si>
    <t>Net Pre-Tax Cash Flow to Equity</t>
  </si>
  <si>
    <t>Project/Contract Year</t>
  </si>
  <si>
    <t>Depreciation Schedules, Half-Year Convention</t>
  </si>
  <si>
    <t>7 Year MACRS</t>
  </si>
  <si>
    <t>5 Year SL</t>
  </si>
  <si>
    <t>15 Year SL</t>
  </si>
  <si>
    <t>7-year MACRS</t>
  </si>
  <si>
    <t>20-year MACRS</t>
  </si>
  <si>
    <t>5-year SL</t>
  </si>
  <si>
    <t>39-year SL</t>
  </si>
  <si>
    <t>Allocation</t>
  </si>
  <si>
    <t xml:space="preserve">ITC or Cash Grant  </t>
  </si>
  <si>
    <t>check</t>
  </si>
  <si>
    <t>Total Installed Cost</t>
  </si>
  <si>
    <t>No</t>
  </si>
  <si>
    <t>PBI Rate</t>
  </si>
  <si>
    <t>Federal Income Taxes Saved / (Paid), before ITC/PTC</t>
  </si>
  <si>
    <t>Running IRR (After Tax)</t>
  </si>
  <si>
    <t>After-Tax Cash Flow to Equity</t>
  </si>
  <si>
    <t>Cash Benefit of State ITC and/or PTC</t>
  </si>
  <si>
    <t>PBI Escalation Rate</t>
  </si>
  <si>
    <t>Federal PBI Escalator, if applicable</t>
  </si>
  <si>
    <t>State PBI Escalator, if applicable</t>
  </si>
  <si>
    <t>Reserve Accounts:</t>
  </si>
  <si>
    <t>Interest on All Reserves</t>
  </si>
  <si>
    <t>Annual Debt Service Coverage Ratio</t>
  </si>
  <si>
    <t>Depreciation:</t>
  </si>
  <si>
    <t>Annual Depreciation Expense, Initial Installation</t>
  </si>
  <si>
    <t>Annual Depreciation Expense, Repairs &amp; Replacements</t>
  </si>
  <si>
    <t>1st Replacement</t>
  </si>
  <si>
    <t>2nd Replacement</t>
  </si>
  <si>
    <t>Depreciation Timing</t>
  </si>
  <si>
    <t>Depreciation Expense</t>
  </si>
  <si>
    <t>Tax</t>
  </si>
  <si>
    <t>After Tax Cash Flow</t>
  </si>
  <si>
    <t>Reserves</t>
  </si>
  <si>
    <t>PBI Utilization Factor, if applicable</t>
  </si>
  <si>
    <t>Capital Costs</t>
  </si>
  <si>
    <t>Generation Equipment</t>
  </si>
  <si>
    <t>Depreciation Classification</t>
  </si>
  <si>
    <t>Balance of Plant</t>
  </si>
  <si>
    <t>Interconnection</t>
  </si>
  <si>
    <t>Development Costs &amp; Fee</t>
  </si>
  <si>
    <t>Total Generation Equipment Cost</t>
  </si>
  <si>
    <t>Total Project Costs</t>
  </si>
  <si>
    <t>Total Balance of Plant Cost</t>
  </si>
  <si>
    <t>Total Interconnection Cost</t>
  </si>
  <si>
    <t>$ Eligible for ITC</t>
  </si>
  <si>
    <t>Lender Fee</t>
  </si>
  <si>
    <t>Initial Funding of Debt Service &amp; Working Capital/O&amp;M Reserves</t>
  </si>
  <si>
    <t>Total Development Costs &amp; Fees</t>
  </si>
  <si>
    <t>Other Closing Costs</t>
  </si>
  <si>
    <t>Other Grants or Rebates</t>
  </si>
  <si>
    <t>State Income Taxes Saved / (Paid), before ITC/PTC</t>
  </si>
  <si>
    <t>Title:</t>
  </si>
  <si>
    <t>Introduction:</t>
  </si>
  <si>
    <t>Yr 1 COE</t>
  </si>
  <si>
    <t>Interest Earned on Reserve Accounts</t>
  </si>
  <si>
    <t>O&amp;M/Working Capital Reserve</t>
  </si>
  <si>
    <t>Interest on Reserves</t>
  </si>
  <si>
    <t>Annual Contributions to/(Liquidations of) Reserves</t>
  </si>
  <si>
    <t>(Contributions to), and Liquidation of, Reserve Accounts</t>
  </si>
  <si>
    <t>Adjustment(s) for Major Equipment Replacement(s)</t>
  </si>
  <si>
    <t>Annual Depreciation Benefit</t>
  </si>
  <si>
    <t>Model Architecture:</t>
  </si>
  <si>
    <t>Black Text is strictly reserved for cells that are calculated automatically . These cells should not be modified.</t>
  </si>
  <si>
    <t>Pass/Fail</t>
  </si>
  <si>
    <t>Min DSCR</t>
  </si>
  <si>
    <t>Taxable Entity? (turns on/off ITC and depreciation input cells)</t>
  </si>
  <si>
    <t>Construction Financing</t>
  </si>
  <si>
    <t>Federal PTC (as generated)</t>
  </si>
  <si>
    <t>State PTC (as generated)</t>
  </si>
  <si>
    <t>Version:</t>
  </si>
  <si>
    <t>Entering Inputs:  Model Conventions</t>
  </si>
  <si>
    <t>In the "Check" column, green cells are used to indicate that the user has entered an acceptable value in a required field.</t>
  </si>
  <si>
    <t>Annual Escalation of Year-One COE</t>
  </si>
  <si>
    <t>Annual Production Degradation</t>
  </si>
  <si>
    <t>% of Year-One Tariff Rate Escalated</t>
  </si>
  <si>
    <t>Project Management Yr 1</t>
  </si>
  <si>
    <t xml:space="preserve">ITC Amount </t>
  </si>
  <si>
    <t>Paste Results of Multiple Model Runs Below</t>
  </si>
  <si>
    <t>[Insert Scenario Name]</t>
  </si>
  <si>
    <t>Results of multiple scenarios may be compared here by using the "copy" and "paste special - values" feature to transfer values from column D to columns F through O</t>
  </si>
  <si>
    <t>Interest Rate on Term Debt</t>
  </si>
  <si>
    <t>Initial Period ends last day of:</t>
  </si>
  <si>
    <t>O&amp;M Cost Inflation, thereafter</t>
  </si>
  <si>
    <t>O&amp;M Cost Inflation, initial period</t>
  </si>
  <si>
    <t>Fixed O&amp;M Expense, Yr 1</t>
  </si>
  <si>
    <t>Project Useful Life</t>
  </si>
  <si>
    <t>Value of energy, capacity &amp; RECs, Yr 1</t>
  </si>
  <si>
    <t>Market Value Escalation Rate</t>
  </si>
  <si>
    <t>Year-by-Year Inputs for Market Value of Production, if applicable</t>
  </si>
  <si>
    <t>Complex Inputs for Deriving Total Project Capital Cost, if applicable</t>
  </si>
  <si>
    <t>* Includes energy, capacity &amp; RECs</t>
  </si>
  <si>
    <t>Market Revenue</t>
  </si>
  <si>
    <t>Post-Tariff Market Value of Production</t>
  </si>
  <si>
    <t>Required Minimum Annual DSCR</t>
  </si>
  <si>
    <t>Actual Minimum DSCR, occurs in →</t>
  </si>
  <si>
    <t xml:space="preserve">ITC or Cash Grant Amount </t>
  </si>
  <si>
    <t>Tariff or Market Value</t>
  </si>
  <si>
    <t>Project</t>
  </si>
  <si>
    <t>Summary Results</t>
  </si>
  <si>
    <t>Taxable Income / (Operating Loss)</t>
  </si>
  <si>
    <t>Operating Loss Carry-Forward, if applicable:</t>
  </si>
  <si>
    <t>Utilization of Operating Loss Carry-Forward</t>
  </si>
  <si>
    <t>Operating Loss Carry-Forward, Beginning Balance</t>
  </si>
  <si>
    <t>Additional Operating Loss Carried-Forward</t>
  </si>
  <si>
    <t>Operating Loss Carry-Forward, Ending Balance</t>
  </si>
  <si>
    <t>Taxable Income with Operating Loss Carry-Forward</t>
  </si>
  <si>
    <t>Annual Depreciation Expense</t>
  </si>
  <si>
    <t>Federal Tax Credit Benefits, if applicable:</t>
  </si>
  <si>
    <t>Federal ITC (as generated)</t>
  </si>
  <si>
    <t>State ITC (as generated)</t>
  </si>
  <si>
    <t>Applicable Tax Credits, as generated</t>
  </si>
  <si>
    <t>Carry-Forward Scenario:</t>
  </si>
  <si>
    <t>State Tax Credit Benefits, if applicable:</t>
  </si>
  <si>
    <t>Performance, Cost, Operating, Tax &amp; Financing Inputs</t>
  </si>
  <si>
    <t>State Grants Treated as Taxable Income?</t>
  </si>
  <si>
    <t>Federal Grants Treated as Taxable Income?</t>
  </si>
  <si>
    <t>Annual Property Tax Adjustment Factor</t>
  </si>
  <si>
    <t>Property Tax or PILOT, Yr 1</t>
  </si>
  <si>
    <t>% Debt (% of hard costs) (mortgage-style amort.)</t>
  </si>
  <si>
    <t>Senior Debt (funds portion of hard costs)</t>
  </si>
  <si>
    <t>Equity (funds balance of hard costs + all soft costs)</t>
  </si>
  <si>
    <t>Summary of Sources of Funding for Total Installed Cost</t>
  </si>
  <si>
    <t>Actual Average DSCR</t>
  </si>
  <si>
    <t>Required Average DSCR</t>
  </si>
  <si>
    <t>Select Market Value Forecast Methodology</t>
  </si>
  <si>
    <t>Project Year</t>
  </si>
  <si>
    <t>1st Replacement Cost  ($ in year replaced)</t>
  </si>
  <si>
    <t>2nd Replacement Cost ($ in year replaced)</t>
  </si>
  <si>
    <t>Bundled* Market Value of Production (¢/kWh)</t>
  </si>
  <si>
    <t>Avg. DSCR</t>
  </si>
  <si>
    <t>Tariff Rate (Fixed Portion)</t>
  </si>
  <si>
    <t>Tariff Rate (Total)</t>
  </si>
  <si>
    <t>Tariff Rate (Escalating Portion)</t>
  </si>
  <si>
    <t>Equity Investment</t>
  </si>
  <si>
    <t>Pre-Tax Cash Flow</t>
  </si>
  <si>
    <t>Expenses + Cash Obligations</t>
  </si>
  <si>
    <t>Graph Data</t>
  </si>
  <si>
    <t>Operating the Model:</t>
  </si>
  <si>
    <t>Understanding the Results:</t>
  </si>
  <si>
    <t>Cash Benefit of Federal ITC, Cash Grant, or PTC</t>
  </si>
  <si>
    <t>Target After-Tax Equity IRR</t>
  </si>
  <si>
    <t>COE Data Tables</t>
  </si>
  <si>
    <t>NPV</t>
  </si>
  <si>
    <t>(cents/kWh)</t>
  </si>
  <si>
    <t>Range Min</t>
  </si>
  <si>
    <t>Range Max</t>
  </si>
  <si>
    <t>Calculation of COE when tax benefits are "Carried Forward"</t>
  </si>
  <si>
    <t>Production, Yr 1</t>
  </si>
  <si>
    <t>Tax Benefit Carry-Forward, Beginning Balance</t>
  </si>
  <si>
    <t>Additional Tax Benefit Carry-Forward</t>
  </si>
  <si>
    <t>Utilization of Tax Benefit Carry-Forward</t>
  </si>
  <si>
    <t>Tax Benefit Carry-Forward, Ending Balance</t>
  </si>
  <si>
    <r>
      <t xml:space="preserve">Taxable Income </t>
    </r>
    <r>
      <rPr>
        <sz val="12"/>
        <rFont val="Arial"/>
        <family val="2"/>
      </rPr>
      <t>(operating loss used as generated)</t>
    </r>
  </si>
  <si>
    <r>
      <t>Taxable Income (Federal)</t>
    </r>
    <r>
      <rPr>
        <sz val="12"/>
        <rFont val="Arial"/>
        <family val="2"/>
      </rPr>
      <t>,           operating loss treatment ==&gt;&gt;</t>
    </r>
  </si>
  <si>
    <r>
      <t>Taxable Income (State),</t>
    </r>
    <r>
      <rPr>
        <sz val="12"/>
        <rFont val="Arial"/>
        <family val="2"/>
      </rPr>
      <t xml:space="preserve">               operating loss treatment ==&gt;&gt;</t>
    </r>
  </si>
  <si>
    <t>Federal Tax Benefits used as generated or carried forward?</t>
  </si>
  <si>
    <t>State Tax Benefits used as generated or carried forward?</t>
  </si>
  <si>
    <t>Federal Carry-Forward</t>
  </si>
  <si>
    <t>State Carry-Forward</t>
  </si>
  <si>
    <t>Minimum DSSCR Year</t>
  </si>
  <si>
    <t>Units</t>
  </si>
  <si>
    <t>Unit Definitions</t>
  </si>
  <si>
    <t>Pass/Fail – denotes whether the two debt service coverage ratio tests have passed or failed.</t>
  </si>
  <si>
    <t>(kW) kilowatt – a standard measure of electrical capacity, equal to 1000 Watts.</t>
  </si>
  <si>
    <t>(kWh) kilowatt hour – a standard measure of electrical output. A 1 kW generator operating at rated capacity for one hour will produce 1 kWh of electricity.</t>
  </si>
  <si>
    <t>(¢/kWh) –cents per kilowatt hour</t>
  </si>
  <si>
    <t>(%) – an input with units expressed as a percentage</t>
  </si>
  <si>
    <t>(years or year) – an input applicable to a specified duration or project year</t>
  </si>
  <si>
    <t>($/yr) – inputs measured in dollars and applied annually</t>
  </si>
  <si>
    <t>(months) –designates the number of months to which an input applies</t>
  </si>
  <si>
    <r>
      <t xml:space="preserve">Does modeled project meet </t>
    </r>
    <r>
      <rPr>
        <b/>
        <i/>
        <sz val="11"/>
        <color theme="1"/>
        <rFont val="Arial"/>
        <family val="2"/>
      </rPr>
      <t>minimum</t>
    </r>
    <r>
      <rPr>
        <b/>
        <sz val="11"/>
        <color theme="1"/>
        <rFont val="Arial"/>
        <family val="2"/>
      </rPr>
      <t xml:space="preserve"> DSCR requirements?</t>
    </r>
  </si>
  <si>
    <r>
      <t xml:space="preserve">Does modeled project meet </t>
    </r>
    <r>
      <rPr>
        <b/>
        <i/>
        <sz val="11"/>
        <color theme="1"/>
        <rFont val="Arial"/>
        <family val="2"/>
      </rPr>
      <t>average</t>
    </r>
    <r>
      <rPr>
        <b/>
        <sz val="11"/>
        <color theme="1"/>
        <rFont val="Arial"/>
        <family val="2"/>
      </rPr>
      <t xml:space="preserve"> DSCR requirements?</t>
    </r>
  </si>
  <si>
    <t>Investment Tax Credit (ITC) or Cash Grant?</t>
  </si>
  <si>
    <t>Type of Federal Incentive Assumed</t>
  </si>
  <si>
    <t>Is PBI Tax-Based (PTC) or Cash-Based (REPI)?</t>
  </si>
  <si>
    <t>Is Performance-Based Incentive Tax Credit or Cash Pmt?</t>
  </si>
  <si>
    <t>Click Here for Complex Input Worksheet</t>
  </si>
  <si>
    <t>($/kW-yr) – an annual expense (or revenue) based on generator capacity</t>
  </si>
  <si>
    <t>($) – All CREST model values are in nominal dollars</t>
  </si>
  <si>
    <t>Weighted Average Cost of Capital (WACC)</t>
  </si>
  <si>
    <t>Click Here for Complex Input Worksheets</t>
  </si>
  <si>
    <t>Year One</t>
  </si>
  <si>
    <t>As Generated</t>
  </si>
  <si>
    <r>
      <t>Total Value of Grants</t>
    </r>
    <r>
      <rPr>
        <sz val="10"/>
        <rFont val="Arial"/>
        <family val="2"/>
      </rPr>
      <t xml:space="preserve"> (excl. pmt in lieu of ITC, if applicable)</t>
    </r>
  </si>
  <si>
    <t>Did you confirm that all minimum required inputs have green check cells?</t>
  </si>
  <si>
    <t>Insurance, Yr 1 ($) (Provided for reference)</t>
  </si>
  <si>
    <t>Royalties, Yr 1 ($) (Provided for reference)</t>
  </si>
  <si>
    <r>
      <rPr>
        <b/>
        <sz val="12"/>
        <color theme="4"/>
        <rFont val="Calibri"/>
        <family val="2"/>
        <scheme val="minor"/>
      </rPr>
      <t>Blue Bold Text</t>
    </r>
    <r>
      <rPr>
        <sz val="12"/>
        <color theme="1"/>
        <rFont val="Calibri"/>
        <family val="2"/>
        <scheme val="minor"/>
      </rPr>
      <t xml:space="preserve"> denotes user-defined inputs.  The user is responsible for modifying these cells to be consistent with the project being evaluated.</t>
    </r>
  </si>
  <si>
    <t>Conversely, red cells appearing in the "Check" column indicate that a required cell is blank or contains an invalid argument which requires the user's attention.</t>
  </si>
  <si>
    <t>Yellow boxes are used to highlight input choices the model user must make via a dropdown menu.</t>
  </si>
  <si>
    <t>The "Notes" column, populated with boxes showing a "?", contains a combination of definitions, explanations and ranges of typical values for most inputs.  To read a note, the users need only move the cursor onto the applicable cell.  The user is strongly encouraged to review all of these comments in order to understand key features of the CREST model.</t>
  </si>
  <si>
    <t>The output of this model is the all-in payment required to cover all expenses and meet the project investors' after-tax return requirements over the specified number of years. This payment can be used to inform the feed-in tariff rate-setting process.  The payment can either be expressed as a  ‘Year One’ value of which all, or a designated portion, escalates each year during the tariff's duration at a defined rate, or as a "nominal levelized" value (where zero annual escalation is assumed).  The model output is always expressed in cents/kWh.  It is important to note that this calculated tariff rate is net of other assumed incentives, such as federal tax credits and state grants.</t>
  </si>
  <si>
    <t>Press F9 each time inputs are changed to ensure completion of the COE calculation.  
When "#N/A" appears,  press "F9" in the upper row on your keyboard to complete the calculation.  It may be necessary to press F9 more than once. See note for details.</t>
  </si>
  <si>
    <t>Minimum DSCR Check Cell (If "Fail," read note ==&gt;)</t>
  </si>
  <si>
    <t>Average DSCR Check Cell (If "Fail," read note ==&gt;)</t>
  </si>
  <si>
    <t>Input Value</t>
  </si>
  <si>
    <t>Input Values</t>
  </si>
  <si>
    <r>
      <t xml:space="preserve">% Equity (% hard costs) </t>
    </r>
    <r>
      <rPr>
        <sz val="11"/>
        <rFont val="Arial"/>
        <family val="2"/>
      </rPr>
      <t>(soft costs also equity funded)</t>
    </r>
  </si>
  <si>
    <t>$/kW-yr</t>
  </si>
  <si>
    <t>kW</t>
  </si>
  <si>
    <t>$/kW</t>
  </si>
  <si>
    <t>Cost of Renewable Energy Spreadsheet Tool (CREST)</t>
  </si>
  <si>
    <t>Land Lease</t>
  </si>
  <si>
    <t>Adjustment to Cost Basis for ITC &amp; Non-taxable Grants</t>
  </si>
  <si>
    <t>Bonus Depreciation</t>
  </si>
  <si>
    <t>% of Bonus Depreciation applied in Year 1</t>
  </si>
  <si>
    <t>Allocation of Costs</t>
  </si>
  <si>
    <t>Project Cost Allocation</t>
  </si>
  <si>
    <t>Before</t>
  </si>
  <si>
    <t xml:space="preserve">% </t>
  </si>
  <si>
    <t xml:space="preserve">After </t>
  </si>
  <si>
    <t>Adjustments</t>
  </si>
  <si>
    <t>Unadjusted</t>
  </si>
  <si>
    <t>Adjusted</t>
  </si>
  <si>
    <t>Project Cost Basis</t>
  </si>
  <si>
    <t>User Manual:</t>
  </si>
  <si>
    <t>Examples:</t>
  </si>
  <si>
    <t>Input Format</t>
  </si>
  <si>
    <t>Calculated Value Format</t>
  </si>
  <si>
    <t>Drop-Down Menu</t>
  </si>
  <si>
    <r>
      <t xml:space="preserve">Once a user has finished entering the characteristics of the project under review on the "Inputs" tab, the model will automatically calculate both the "Year One" and equivalent "Levelized Cost of Energy" -- as defined and discussed in the User Manual.  MS Excel's "Calculation Options" </t>
    </r>
    <r>
      <rPr>
        <b/>
        <sz val="12"/>
        <color theme="1"/>
        <rFont val="Calibri"/>
        <family val="2"/>
        <scheme val="minor"/>
      </rPr>
      <t>MUST</t>
    </r>
    <r>
      <rPr>
        <sz val="12"/>
        <color theme="1"/>
        <rFont val="Calibri"/>
        <family val="2"/>
        <scheme val="minor"/>
      </rPr>
      <t xml:space="preserve"> be set to "</t>
    </r>
    <r>
      <rPr>
        <u/>
        <sz val="12"/>
        <color theme="1"/>
        <rFont val="Calibri"/>
        <family val="2"/>
        <scheme val="minor"/>
      </rPr>
      <t>Automatic</t>
    </r>
    <r>
      <rPr>
        <sz val="12"/>
        <color theme="1"/>
        <rFont val="Calibri"/>
        <family val="2"/>
        <scheme val="minor"/>
      </rPr>
      <t xml:space="preserve">" in order for these results to be generated automatically.  If "Calculation Options" are not set to "Automatic," then the user will need to press "F9" </t>
    </r>
    <r>
      <rPr>
        <u/>
        <sz val="12"/>
        <color theme="1"/>
        <rFont val="Calibri"/>
        <family val="2"/>
        <scheme val="minor"/>
      </rPr>
      <t>after any input is changed</t>
    </r>
    <r>
      <rPr>
        <sz val="12"/>
        <color theme="1"/>
        <rFont val="Calibri"/>
        <family val="2"/>
        <scheme val="minor"/>
      </rPr>
      <t>, in order to calculate accurate results. Even when the Calculations Options are set to Automatic, there are circumstances in which F9 will need to be pressed one or more times in order to complete the calculation.  This is described in more detail in the note towards the top of the Summary Results worksheet. 
Results appear on the "Summary Results" worksheet.  In an effort to allow the user to perform a side-by-side review of multiple cases, the "Summary Results" tab has columns for multiple results. The user is encouraged to copy and paste results from column D into columns F-O as multiple scenarios are run.  This is accomplished by using the "copy" and then "paste special -- values" features in Excel.</t>
    </r>
  </si>
  <si>
    <t>PBI Utilization or Availability Factor, if applicable</t>
  </si>
  <si>
    <t>Federal Taxable Income</t>
  </si>
  <si>
    <t>State Taxable Income</t>
  </si>
  <si>
    <t>Federal Tax 
Benefit/ (Liability)</t>
  </si>
  <si>
    <t>State Tax 
Benefit/ (Liability)</t>
  </si>
  <si>
    <t>Revenue + Tax Benefit/(Liability)</t>
  </si>
  <si>
    <t>Pre-Tax (Cash-only) Equity IRR (over defined Useful Life)</t>
  </si>
  <si>
    <t>After Tax Equity IRR (over defined Useful Life)</t>
  </si>
  <si>
    <t>Notes: (Users may enter descriptive text about their model run)</t>
  </si>
  <si>
    <t xml:space="preserve">3rd Equipment Replacement </t>
  </si>
  <si>
    <t>3rd Replacement Cost ($ in year replaced)</t>
  </si>
  <si>
    <t xml:space="preserve">4th Equipment Replacement </t>
  </si>
  <si>
    <t>4th Replacement Cost ($ in year replaced)</t>
  </si>
  <si>
    <t>3rd Replacement</t>
  </si>
  <si>
    <t>4th Replacement</t>
  </si>
  <si>
    <t>Major Equipment Replacement Reserves #1</t>
  </si>
  <si>
    <t>Major Equipment Replacement Reserves #2</t>
  </si>
  <si>
    <t>Major Equipment Replacement Reserves #3</t>
  </si>
  <si>
    <t>Major Equipment Replacement Reserves #4</t>
  </si>
  <si>
    <t>(max funding period, yrs)</t>
  </si>
  <si>
    <t>The CREST model consists of six worksheets: (1) Introduction: An overview of the CREST model, (2) Inputs: The interface for nearly all user-defined assumptions, (3) Summary Results: A framework for storing the output (results) and associated key inputs of multiple model runs, (4) Annual Cash Flows &amp; Returns: Provides a summary of the modeled project's annual cash flows, (5) Cash Flow: The formula calculations, or "guts", of the model; derives all project cash and tax benefits, and (6) Complex Inputs: This worksheet is only used if the user elects to include a detailed breakdown of project costs; this choice is selected by the user on the Inputs tab. Users should expect to work primarily with the "Inputs" and the "Summary Results" worksheets, although the other tabs and summaries are also expected to be useful during the policy-making process.</t>
  </si>
  <si>
    <t>http://dsireusa.org/</t>
  </si>
  <si>
    <t>http://dsireusa.org/incentives/incentive.cfm?Incentive_Code=US02F&amp;re=1&amp;ee=1</t>
  </si>
  <si>
    <t>http://dsireusa.org/incentives/index.cfm?state=us&amp;re=1&amp;EE=1</t>
  </si>
  <si>
    <t>Summary of Reference Links From Inputs Worksheet</t>
  </si>
  <si>
    <t>Several of the input-specific "Notes" on the Inputs worksheet contain hyperlinks.  Since these hyperlinks are not operable when placed within the MS Excel notes feature, they are duplicated here for the user's convenience.</t>
  </si>
  <si>
    <t>DSIRE</t>
  </si>
  <si>
    <t>DSIRE: Tax/Grants</t>
  </si>
  <si>
    <t>DSIRE: Other Fed Incentives</t>
  </si>
  <si>
    <t>Total State ITC, over realization period</t>
  </si>
  <si>
    <t>Cost-Based Tariff Rate Structure</t>
  </si>
  <si>
    <t>Cost-Based Tariff Escalation Rate</t>
  </si>
  <si>
    <t xml:space="preserve">http://financere.nrel.gov/finance/content/crest-model </t>
  </si>
  <si>
    <t>The remainder of this Introduction worksheet provides an abridged version of the User Manual.</t>
  </si>
  <si>
    <r>
      <t xml:space="preserve">The CREST model comes with a User Manual which describes its design, features, inputs and outputs.  The manual is intended to provide an easy to follow road map to users who might not typically work with financial analyses,  to ensure successful utilization of this Cost of Energy tool.  The User Manual gives a "guided tour" of the model architecture, provides an explanation of how to operate the model, compare multiple analyses, and understand the results.  The User Manual is available to download at: </t>
    </r>
    <r>
      <rPr>
        <sz val="12"/>
        <color theme="1"/>
        <rFont val="Calibri"/>
        <family val="2"/>
        <scheme val="minor"/>
      </rPr>
      <t xml:space="preserve">
</t>
    </r>
  </si>
  <si>
    <t>RETI Cost of Generation Spreadsheet</t>
  </si>
  <si>
    <t>Vermont Standard Offer Models</t>
  </si>
  <si>
    <t>RETScreen</t>
  </si>
  <si>
    <t>Gainesville FIT Model</t>
  </si>
  <si>
    <t>Solar Advisor Model (SAM)</t>
  </si>
  <si>
    <t>EU PV Platform</t>
  </si>
  <si>
    <t>Vote Solar Incentive Comparison Model</t>
  </si>
  <si>
    <t>Geothermal Electricity Technology Evaluation Model (GETEM)</t>
  </si>
  <si>
    <t>These models were reviewed primarily to identify best practices which effectively balance ease of use with flexibility and advanced functionality.  In most cases, the helpful modeling techniques identified are not technology-specific, and have influenced the general design of all three CREST models.  Each of the models listed below is discussed in more detail in the report (please see link at the top of this worksheet).</t>
  </si>
  <si>
    <t xml:space="preserve">The CREST model is a cost-of-energy analysis tool intended to assist policy makers evaluating the appropriate payment rate for a cost-based renewable energy incentive policy. The model aims to determine the cost-of-energy, or minimum revenue per unit of production needed for a sample (modeled) renewable energy project to meet its investors' assumed minimum required after-tax rate of return.  This model was developed in conjunction with a report entitled “Renewable Energy Cost Modeling: A Toolkit for Establishing Cost-Based Incentives in the United States”, developed under contract to the National Renewable Energy Laboratory. For more information about the factors, issues and policy decisions involved in establishing cost-based rates and incentives, please refer to the report.
The report, user manual and CREST models are free and available for download at: </t>
  </si>
  <si>
    <r>
      <t xml:space="preserve">Forecasted Market Value of Production; applies </t>
    </r>
    <r>
      <rPr>
        <b/>
        <u/>
        <sz val="12"/>
        <rFont val="Arial"/>
        <family val="2"/>
      </rPr>
      <t>after</t>
    </r>
    <r>
      <rPr>
        <b/>
        <sz val="12"/>
        <rFont val="Arial"/>
        <family val="2"/>
      </rPr>
      <t xml:space="preserve"> Incentive Expiration</t>
    </r>
  </si>
  <si>
    <t>Author:</t>
  </si>
  <si>
    <t>Sustainable Energy Advantage, LLC</t>
  </si>
  <si>
    <t>For Technical Support, Please Contact:</t>
  </si>
  <si>
    <t xml:space="preserve">Michael Mendelsohn, NREL
(303) 384-7363
michael.mendelsohn@nrel.gov </t>
  </si>
  <si>
    <t>For Model Customization, Please Contact:</t>
  </si>
  <si>
    <t xml:space="preserve">Sustainable Energy Advantage, LLC
(508) 665-5850
CREST@seadvantage.com </t>
  </si>
  <si>
    <t>Total Installed Cost (before grants, if applicable)</t>
  </si>
  <si>
    <t>Cash</t>
  </si>
  <si>
    <t>Payment Duration for Cost-Based Tariff</t>
  </si>
  <si>
    <t>Tax Credit-  or Cash- Based?</t>
  </si>
  <si>
    <t>% of Year 1 Tariff Rate Escalated</t>
  </si>
  <si>
    <t>Net Installed Cost (Total Installed Cost less Grants)</t>
  </si>
  <si>
    <t>Operating Expenses, Aggregated, Yr 1</t>
  </si>
  <si>
    <t>Debt Term</t>
  </si>
  <si>
    <t>Federal Tax Benefts Used "as generated" or "carried forward"?</t>
  </si>
  <si>
    <t>State Tax Benefts Used "as generated" or "carried forward"?</t>
  </si>
  <si>
    <t>Total of Grants or Rebates</t>
  </si>
  <si>
    <t>Bonus Depreciation assumed?</t>
  </si>
  <si>
    <r>
      <rPr>
        <sz val="11"/>
        <color theme="1"/>
        <rFont val="Calibri"/>
        <family val="2"/>
      </rPr>
      <t>¢</t>
    </r>
    <r>
      <rPr>
        <i/>
        <sz val="11"/>
        <color theme="1"/>
        <rFont val="Arial"/>
        <family val="2"/>
      </rPr>
      <t>/kWh</t>
    </r>
  </si>
  <si>
    <t>Total $ Cap on State Rebates/Grants</t>
  </si>
  <si>
    <t>Annual $ Cap on Performance-Based Incentive</t>
  </si>
  <si>
    <t>PBI or REC Rate</t>
  </si>
  <si>
    <t>PBI or REC PaymentDuration</t>
  </si>
  <si>
    <t>PBI or REC Escalation Rate (pos. or neg.)</t>
  </si>
  <si>
    <t>State Rebates, Tax Credits and/or REC Revenue</t>
  </si>
  <si>
    <t>Net Year-One Cost of Energy (COE)</t>
  </si>
  <si>
    <t>Net Nominal Levelized Cost of Energy</t>
  </si>
  <si>
    <r>
      <t xml:space="preserve">Additional Federal Grants </t>
    </r>
    <r>
      <rPr>
        <b/>
        <sz val="10"/>
        <rFont val="Arial"/>
        <family val="2"/>
      </rPr>
      <t>(Other than Section 1603)</t>
    </r>
  </si>
  <si>
    <t>Select Form of Federal Incentives</t>
  </si>
  <si>
    <t>Additional State Rebates/Grants</t>
  </si>
  <si>
    <t>Select Form of State Incentive</t>
  </si>
  <si>
    <t>If cash, is state PBI or REC taxable?</t>
  </si>
  <si>
    <t>Summary of Models Reviewed During the Development of the CREST models:</t>
  </si>
  <si>
    <t>cubic feet/day</t>
  </si>
  <si>
    <t>BTU/cubic foot</t>
  </si>
  <si>
    <t>cubic feet/year</t>
  </si>
  <si>
    <t>MMBTU/year</t>
  </si>
  <si>
    <t>Heat Rate</t>
  </si>
  <si>
    <t>Intermediate</t>
  </si>
  <si>
    <t>BTU/kWh</t>
  </si>
  <si>
    <t>Energy Content per Cubic Foot</t>
  </si>
  <si>
    <t>Energy Content per Year</t>
  </si>
  <si>
    <t>Production, Year 1</t>
  </si>
  <si>
    <t>Availability</t>
  </si>
  <si>
    <t>Station Service (Parasitic Load)</t>
  </si>
  <si>
    <t>Biogas Consumption per Day</t>
  </si>
  <si>
    <t>Biogas Consumption per Year</t>
  </si>
  <si>
    <t>Tipping Fee - Source #1</t>
  </si>
  <si>
    <t>$/ton</t>
  </si>
  <si>
    <t>Tipping Fee - Source #2</t>
  </si>
  <si>
    <t>Tipping Fee - Source #3</t>
  </si>
  <si>
    <t>Tipping Fees</t>
  </si>
  <si>
    <t>Quantity Received Each Year</t>
  </si>
  <si>
    <t>tons per year</t>
  </si>
  <si>
    <t>Supplemental Revenue Streams: Tipping Fees</t>
  </si>
  <si>
    <t>Water &amp; Sewer Expenses</t>
  </si>
  <si>
    <t>Water &amp; Sewer Expense Escalation Factor</t>
  </si>
  <si>
    <t>Water &amp; Sewer Escalation Factor</t>
  </si>
  <si>
    <t>All inputs must be provided and validated by the user.</t>
  </si>
  <si>
    <t>Supplemental Revenue</t>
  </si>
  <si>
    <t>Capital Expenditures During Operations (capitalized and depreciated)</t>
  </si>
  <si>
    <t>Digestate Disposal (if handled as an expense)</t>
  </si>
  <si>
    <t>Digestate - Quantity</t>
  </si>
  <si>
    <t>Digestate (if treated as an expense</t>
  </si>
  <si>
    <t>Digestate Disposal Escalation Factor</t>
  </si>
  <si>
    <t>Digestate (if merchantable for additional revenue)</t>
  </si>
  <si>
    <t>Feedstock Expense, if applicable</t>
  </si>
  <si>
    <t>Feedstock Expense Escalation Factor</t>
  </si>
  <si>
    <t>Feedstock - Quantity</t>
  </si>
  <si>
    <t>Feedstock Expense</t>
  </si>
  <si>
    <t>Feedstock Escalation Factor</t>
  </si>
  <si>
    <t>Digestate Revenue Escalation Factor</t>
  </si>
  <si>
    <t>$/gallon</t>
  </si>
  <si>
    <t>gallons per year</t>
  </si>
  <si>
    <t>Salvage</t>
  </si>
  <si>
    <t>Performance-Based</t>
  </si>
  <si>
    <t>Tax Credit</t>
  </si>
  <si>
    <t>Electrical Conversion Efficiency</t>
  </si>
  <si>
    <t>Waste Heat -- Heat Capture Efficiency</t>
  </si>
  <si>
    <t>Waste Heat -- BTUs available for sale</t>
  </si>
  <si>
    <t>Waste Heat Selling Rate Escalation Factor</t>
  </si>
  <si>
    <t>Waste Heat -- Selling Price Escalation Factor</t>
  </si>
  <si>
    <t>$/therm</t>
  </si>
  <si>
    <t>Electricity Production</t>
  </si>
  <si>
    <t>Heat Available for Sale</t>
  </si>
  <si>
    <t>therms</t>
  </si>
  <si>
    <t>Waste Heat -- Selling Price/Avoided Cost</t>
  </si>
  <si>
    <t>Sale/Avoided Cost of Waste Heat</t>
  </si>
  <si>
    <t>% Equity (% hard costs) (soft costs also equity funded)</t>
  </si>
  <si>
    <t>Simple</t>
  </si>
  <si>
    <t>Anaerobic Digestion, version 1.4</t>
  </si>
  <si>
    <t>Update Notice:</t>
  </si>
  <si>
    <t>Version 1.4 removes CREST's password protection. The authors strongly recommend that you save a copy of the model in its original form.  Once altered, modeling results cannot be warranted by NREL or SEA.  For model customization support, please contact Sustainable Energy Advantage, LLC.</t>
  </si>
  <si>
    <t>ITC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</si>
</sst>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0.0%"/>
    <numFmt numFmtId="165" formatCode="_(&quot;$&quot;* #,##0_);_(&quot;$&quot;* \(#,##0\);_(&quot;$&quot;* &quot;-&quot;??_);_(@_)"/>
    <numFmt numFmtId="166" formatCode="&quot;Project&quot;\ #"/>
    <numFmt numFmtId="167" formatCode="0\ &quot;kW&quot;"/>
    <numFmt numFmtId="168" formatCode="#\ &quot;Years&quot;"/>
    <numFmt numFmtId="169" formatCode="&quot;$&quot;#,##0"/>
    <numFmt numFmtId="170" formatCode="&quot;$&quot;#.##&quot;/ Watt&quot;"/>
    <numFmt numFmtId="171" formatCode="&quot;$&quot;#,##0.00"/>
    <numFmt numFmtId="172" formatCode="0.0000"/>
    <numFmt numFmtId="173" formatCode="0.000"/>
    <numFmt numFmtId="174" formatCode="_(* #,##0_);_(* \(#,##0\);_(* &quot;-&quot;??_);_(@_)"/>
    <numFmt numFmtId="175" formatCode="0.000000"/>
    <numFmt numFmtId="176" formatCode="&quot;Year&quot;\ #"/>
    <numFmt numFmtId="177" formatCode="0.0"/>
    <numFmt numFmtId="178" formatCode="&quot;Net Present Value @&quot;\ ##.00%\ &quot;(over defined Useful Life)&quot;"/>
  </numFmts>
  <fonts count="95">
    <font>
      <sz val="11"/>
      <color theme="1"/>
      <name val="Calibri"/>
      <family val="2"/>
      <scheme val="minor"/>
    </font>
    <font>
      <sz val="12"/>
      <color theme="1"/>
      <name val="Calibri"/>
      <family val="2"/>
      <scheme val="minor"/>
    </font>
    <font>
      <sz val="11"/>
      <color theme="1"/>
      <name val="Calibri"/>
      <family val="2"/>
      <scheme val="minor"/>
    </font>
    <font>
      <b/>
      <sz val="12"/>
      <name val="Arial"/>
      <family val="2"/>
    </font>
    <font>
      <i/>
      <sz val="12"/>
      <name val="Arial"/>
      <family val="2"/>
    </font>
    <font>
      <b/>
      <sz val="12"/>
      <color indexed="62"/>
      <name val="Arial"/>
      <family val="2"/>
    </font>
    <font>
      <sz val="12"/>
      <name val="Arial"/>
      <family val="2"/>
    </font>
    <font>
      <sz val="12"/>
      <color rgb="FFFF0000"/>
      <name val="Arial"/>
      <family val="2"/>
    </font>
    <font>
      <b/>
      <sz val="14"/>
      <name val="Arial"/>
      <family val="2"/>
    </font>
    <font>
      <b/>
      <sz val="12"/>
      <color theme="3"/>
      <name val="Arial"/>
      <family val="2"/>
    </font>
    <font>
      <b/>
      <i/>
      <sz val="10"/>
      <name val="Arial"/>
      <family val="2"/>
    </font>
    <font>
      <i/>
      <sz val="11"/>
      <name val="Arial"/>
      <family val="2"/>
    </font>
    <font>
      <b/>
      <sz val="12"/>
      <color indexed="56"/>
      <name val="Arial"/>
      <family val="2"/>
    </font>
    <font>
      <b/>
      <sz val="8"/>
      <color indexed="81"/>
      <name val="Tahoma"/>
      <family val="2"/>
    </font>
    <font>
      <sz val="8"/>
      <color indexed="81"/>
      <name val="Tahoma"/>
      <family val="2"/>
    </font>
    <font>
      <b/>
      <sz val="12"/>
      <color rgb="FFFF0000"/>
      <name val="Arial"/>
      <family val="2"/>
    </font>
    <font>
      <b/>
      <sz val="12"/>
      <color theme="0" tint="-0.14999847407452621"/>
      <name val="Arial"/>
      <family val="2"/>
    </font>
    <font>
      <u/>
      <sz val="8.8000000000000007"/>
      <color theme="10"/>
      <name val="Calibri"/>
      <family val="2"/>
    </font>
    <font>
      <b/>
      <sz val="14"/>
      <color indexed="81"/>
      <name val="Tahoma"/>
      <family val="2"/>
    </font>
    <font>
      <sz val="14"/>
      <color indexed="81"/>
      <name val="Tahoma"/>
      <family val="2"/>
    </font>
    <font>
      <sz val="10"/>
      <name val="Arial"/>
      <family val="2"/>
    </font>
    <font>
      <b/>
      <i/>
      <sz val="12"/>
      <name val="Arial"/>
      <family val="2"/>
    </font>
    <font>
      <u/>
      <sz val="12"/>
      <name val="Arial"/>
      <family val="2"/>
    </font>
    <font>
      <b/>
      <sz val="12"/>
      <color indexed="81"/>
      <name val="Tahoma"/>
      <family val="2"/>
    </font>
    <font>
      <b/>
      <sz val="12"/>
      <color theme="4"/>
      <name val="Arial"/>
      <family val="2"/>
    </font>
    <font>
      <b/>
      <sz val="11"/>
      <color rgb="FFFF0000"/>
      <name val="Calibri"/>
      <family val="2"/>
      <scheme val="minor"/>
    </font>
    <font>
      <u/>
      <sz val="14"/>
      <color indexed="81"/>
      <name val="Tahoma"/>
      <family val="2"/>
    </font>
    <font>
      <b/>
      <u/>
      <sz val="12"/>
      <color theme="0" tint="-0.249977111117893"/>
      <name val="Arial"/>
      <family val="2"/>
    </font>
    <font>
      <sz val="12"/>
      <color theme="1"/>
      <name val="Arial"/>
      <family val="2"/>
    </font>
    <font>
      <b/>
      <sz val="12"/>
      <color theme="1"/>
      <name val="Calibri"/>
      <family val="2"/>
      <scheme val="minor"/>
    </font>
    <font>
      <b/>
      <sz val="14"/>
      <color theme="1"/>
      <name val="Calibri"/>
      <family val="2"/>
      <scheme val="minor"/>
    </font>
    <font>
      <b/>
      <sz val="12"/>
      <color indexed="12"/>
      <name val="Arial"/>
      <family val="2"/>
    </font>
    <font>
      <sz val="12"/>
      <color indexed="8"/>
      <name val="Arial"/>
      <family val="2"/>
    </font>
    <font>
      <i/>
      <sz val="12"/>
      <color rgb="FFFF0000"/>
      <name val="Arial"/>
      <family val="2"/>
    </font>
    <font>
      <u/>
      <sz val="18"/>
      <color theme="10"/>
      <name val="Calibri"/>
      <family val="2"/>
    </font>
    <font>
      <b/>
      <sz val="12"/>
      <color indexed="56"/>
      <name val="Times New Roman"/>
      <family val="1"/>
    </font>
    <font>
      <i/>
      <u/>
      <sz val="12"/>
      <name val="Arial"/>
      <family val="2"/>
    </font>
    <font>
      <b/>
      <u/>
      <sz val="12"/>
      <name val="Arial"/>
      <family val="2"/>
    </font>
    <font>
      <b/>
      <sz val="14"/>
      <name val="Tahoma"/>
      <family val="2"/>
    </font>
    <font>
      <b/>
      <i/>
      <sz val="14"/>
      <color rgb="FFC00000"/>
      <name val="Tahoma"/>
      <family val="2"/>
    </font>
    <font>
      <i/>
      <sz val="11"/>
      <color rgb="FFC00000"/>
      <name val="Calibri"/>
      <family val="2"/>
      <scheme val="minor"/>
    </font>
    <font>
      <b/>
      <i/>
      <sz val="11"/>
      <color rgb="FFC00000"/>
      <name val="Calibri"/>
      <family val="2"/>
      <scheme val="minor"/>
    </font>
    <font>
      <b/>
      <i/>
      <sz val="12"/>
      <color theme="4"/>
      <name val="Arial"/>
      <family val="2"/>
    </font>
    <font>
      <sz val="12"/>
      <color rgb="FFC00000"/>
      <name val="Arial"/>
      <family val="2"/>
    </font>
    <font>
      <b/>
      <sz val="12"/>
      <color theme="1"/>
      <name val="Arial"/>
      <family val="2"/>
    </font>
    <font>
      <sz val="12"/>
      <color theme="1"/>
      <name val="Calibri"/>
      <family val="2"/>
      <scheme val="minor"/>
    </font>
    <font>
      <b/>
      <sz val="12"/>
      <color rgb="FFFF0000"/>
      <name val="Calibri"/>
      <family val="2"/>
      <scheme val="minor"/>
    </font>
    <font>
      <sz val="12"/>
      <color rgb="FFFF0000"/>
      <name val="Calibri"/>
      <family val="2"/>
      <scheme val="minor"/>
    </font>
    <font>
      <b/>
      <sz val="12"/>
      <color theme="4"/>
      <name val="Calibri"/>
      <family val="2"/>
      <scheme val="minor"/>
    </font>
    <font>
      <sz val="11"/>
      <color theme="1"/>
      <name val="Arial"/>
      <family val="2"/>
    </font>
    <font>
      <b/>
      <sz val="14"/>
      <color theme="1"/>
      <name val="Arial"/>
      <family val="2"/>
    </font>
    <font>
      <b/>
      <sz val="11"/>
      <color theme="1"/>
      <name val="Arial"/>
      <family val="2"/>
    </font>
    <font>
      <b/>
      <sz val="11"/>
      <name val="Arial"/>
      <family val="2"/>
    </font>
    <font>
      <sz val="11"/>
      <name val="Arial"/>
      <family val="2"/>
    </font>
    <font>
      <b/>
      <i/>
      <sz val="11"/>
      <name val="Arial"/>
      <family val="2"/>
    </font>
    <font>
      <i/>
      <sz val="11"/>
      <color theme="1"/>
      <name val="Arial"/>
      <family val="2"/>
    </font>
    <font>
      <b/>
      <i/>
      <sz val="11"/>
      <color rgb="FFC00000"/>
      <name val="Arial"/>
      <family val="2"/>
    </font>
    <font>
      <b/>
      <sz val="11"/>
      <color theme="4"/>
      <name val="Arial"/>
      <family val="2"/>
    </font>
    <font>
      <i/>
      <sz val="12"/>
      <color theme="0" tint="-0.499984740745262"/>
      <name val="Arial"/>
      <family val="2"/>
    </font>
    <font>
      <b/>
      <sz val="12"/>
      <color theme="0"/>
      <name val="Arial"/>
      <family val="2"/>
    </font>
    <font>
      <b/>
      <i/>
      <u/>
      <sz val="12"/>
      <name val="Arial"/>
      <family val="2"/>
    </font>
    <font>
      <b/>
      <sz val="12"/>
      <name val="Tahoma"/>
      <family val="2"/>
    </font>
    <font>
      <sz val="14"/>
      <name val="Arial"/>
      <family val="2"/>
    </font>
    <font>
      <b/>
      <i/>
      <sz val="12"/>
      <color theme="0" tint="-0.249977111117893"/>
      <name val="Arial"/>
      <family val="2"/>
    </font>
    <font>
      <i/>
      <sz val="10"/>
      <color theme="0" tint="-0.499984740745262"/>
      <name val="Arial"/>
      <family val="2"/>
    </font>
    <font>
      <b/>
      <u/>
      <sz val="12"/>
      <color theme="0"/>
      <name val="Arial"/>
      <family val="2"/>
    </font>
    <font>
      <i/>
      <sz val="11"/>
      <color theme="0" tint="-0.34998626667073579"/>
      <name val="Arial"/>
      <family val="2"/>
    </font>
    <font>
      <b/>
      <sz val="8"/>
      <name val="Arial"/>
      <family val="2"/>
    </font>
    <font>
      <sz val="12"/>
      <color theme="0" tint="-0.14999847407452621"/>
      <name val="Arial"/>
      <family val="2"/>
    </font>
    <font>
      <i/>
      <sz val="12"/>
      <color theme="0" tint="-0.14999847407452621"/>
      <name val="Arial"/>
      <family val="2"/>
    </font>
    <font>
      <sz val="12"/>
      <color theme="0"/>
      <name val="Arial"/>
      <family val="2"/>
    </font>
    <font>
      <i/>
      <sz val="12"/>
      <color theme="1"/>
      <name val="Arial"/>
      <family val="2"/>
    </font>
    <font>
      <b/>
      <i/>
      <sz val="11"/>
      <color theme="1"/>
      <name val="Arial"/>
      <family val="2"/>
    </font>
    <font>
      <b/>
      <u/>
      <sz val="12"/>
      <color theme="0" tint="-0.14999847407452621"/>
      <name val="Arial"/>
      <family val="2"/>
    </font>
    <font>
      <u/>
      <sz val="12"/>
      <color theme="10"/>
      <name val="Arial"/>
      <family val="2"/>
    </font>
    <font>
      <b/>
      <u/>
      <sz val="12"/>
      <color theme="10"/>
      <name val="Arial"/>
      <family val="2"/>
    </font>
    <font>
      <sz val="12"/>
      <color indexed="81"/>
      <name val="Tahoma"/>
      <family val="2"/>
    </font>
    <font>
      <b/>
      <i/>
      <sz val="11"/>
      <color rgb="FF00B050"/>
      <name val="Arial"/>
      <family val="2"/>
    </font>
    <font>
      <b/>
      <i/>
      <sz val="14"/>
      <color indexed="81"/>
      <name val="Tahoma"/>
      <family val="2"/>
    </font>
    <font>
      <u/>
      <sz val="12"/>
      <color theme="1"/>
      <name val="Calibri"/>
      <family val="2"/>
      <scheme val="minor"/>
    </font>
    <font>
      <b/>
      <sz val="12"/>
      <color theme="0" tint="-0.249977111117893"/>
      <name val="Arial"/>
      <family val="2"/>
    </font>
    <font>
      <sz val="12"/>
      <color theme="0" tint="-0.249977111117893"/>
      <name val="Arial"/>
      <family val="2"/>
    </font>
    <font>
      <b/>
      <sz val="11"/>
      <color rgb="FFFFFF00"/>
      <name val="Arial"/>
      <family val="2"/>
    </font>
    <font>
      <b/>
      <u/>
      <sz val="14"/>
      <color indexed="81"/>
      <name val="Tahoma"/>
      <family val="2"/>
    </font>
    <font>
      <b/>
      <sz val="12"/>
      <color theme="3"/>
      <name val="Calibri"/>
      <family val="2"/>
      <scheme val="minor"/>
    </font>
    <font>
      <b/>
      <i/>
      <u/>
      <sz val="12"/>
      <color theme="1"/>
      <name val="Calibri"/>
      <family val="2"/>
      <scheme val="minor"/>
    </font>
    <font>
      <b/>
      <sz val="14"/>
      <color rgb="FFFF0000"/>
      <name val="Calibri"/>
      <family val="2"/>
      <scheme val="minor"/>
    </font>
    <font>
      <u/>
      <sz val="12"/>
      <color theme="10"/>
      <name val="Calibri"/>
      <family val="2"/>
    </font>
    <font>
      <b/>
      <i/>
      <sz val="12"/>
      <color theme="1"/>
      <name val="Calibri"/>
      <family val="2"/>
      <scheme val="minor"/>
    </font>
    <font>
      <b/>
      <sz val="11"/>
      <color rgb="FFFF0000"/>
      <name val="Arial"/>
      <family val="2"/>
    </font>
    <font>
      <sz val="11"/>
      <color theme="1"/>
      <name val="Calibri"/>
      <family val="2"/>
    </font>
    <font>
      <b/>
      <sz val="16"/>
      <color indexed="81"/>
      <name val="Tahoma"/>
      <family val="2"/>
    </font>
    <font>
      <i/>
      <sz val="14"/>
      <color theme="1"/>
      <name val="Arial"/>
      <family val="2"/>
    </font>
    <font>
      <sz val="14"/>
      <color theme="1"/>
      <name val="Arial"/>
      <family val="2"/>
    </font>
    <font>
      <b/>
      <sz val="10"/>
      <name val="Arial"/>
      <family val="2"/>
    </font>
  </fonts>
  <fills count="15">
    <fill>
      <patternFill patternType="none"/>
    </fill>
    <fill>
      <patternFill patternType="gray125"/>
    </fill>
    <fill>
      <patternFill patternType="solid">
        <fgColor indexed="9"/>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99"/>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indexed="2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s>
  <borders count="7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bottom style="thin">
        <color indexed="64"/>
      </bottom>
      <diagonal/>
    </border>
    <border>
      <left/>
      <right/>
      <top style="medium">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s>
  <cellStyleXfs count="6">
    <xf numFmtId="0" fontId="0" fillId="0" borderId="0"/>
    <xf numFmtId="44" fontId="2" fillId="0" borderId="0" applyFont="0" applyFill="0" applyBorder="0" applyAlignment="0" applyProtection="0"/>
    <xf numFmtId="9" fontId="2" fillId="0" borderId="0" applyFont="0" applyFill="0" applyBorder="0" applyAlignment="0" applyProtection="0"/>
    <xf numFmtId="0" fontId="17" fillId="0" borderId="0" applyNumberFormat="0" applyFill="0" applyBorder="0" applyAlignment="0" applyProtection="0">
      <alignment vertical="top"/>
      <protection locked="0"/>
    </xf>
    <xf numFmtId="9" fontId="20" fillId="0" borderId="0" applyFont="0" applyFill="0" applyBorder="0" applyAlignment="0" applyProtection="0"/>
    <xf numFmtId="43" fontId="2" fillId="0" borderId="0" applyFont="0" applyFill="0" applyBorder="0" applyAlignment="0" applyProtection="0"/>
  </cellStyleXfs>
  <cellXfs count="822">
    <xf numFmtId="0" fontId="0" fillId="0" borderId="0" xfId="0"/>
    <xf numFmtId="0" fontId="6" fillId="0" borderId="0" xfId="0" applyFont="1" applyFill="1" applyBorder="1"/>
    <xf numFmtId="0" fontId="3" fillId="5" borderId="1" xfId="0" applyNumberFormat="1" applyFont="1" applyFill="1" applyBorder="1" applyAlignment="1">
      <alignment horizontal="left"/>
    </xf>
    <xf numFmtId="0" fontId="10" fillId="5" borderId="2" xfId="0" applyNumberFormat="1" applyFont="1" applyFill="1" applyBorder="1" applyAlignment="1">
      <alignment horizontal="center"/>
    </xf>
    <xf numFmtId="166" fontId="11" fillId="5" borderId="3" xfId="0" applyNumberFormat="1" applyFont="1" applyFill="1" applyBorder="1" applyAlignment="1">
      <alignment horizontal="center"/>
    </xf>
    <xf numFmtId="0" fontId="3" fillId="5" borderId="1" xfId="0" applyNumberFormat="1" applyFont="1" applyFill="1" applyBorder="1" applyAlignment="1"/>
    <xf numFmtId="0" fontId="4" fillId="2" borderId="5" xfId="0" applyNumberFormat="1" applyFont="1" applyFill="1" applyBorder="1" applyAlignment="1">
      <alignment horizontal="center"/>
    </xf>
    <xf numFmtId="0" fontId="4" fillId="2" borderId="4" xfId="0" applyNumberFormat="1" applyFont="1" applyFill="1" applyBorder="1" applyAlignment="1">
      <alignment horizontal="center"/>
    </xf>
    <xf numFmtId="0" fontId="6" fillId="2" borderId="4" xfId="0" applyNumberFormat="1" applyFont="1" applyFill="1" applyBorder="1" applyAlignment="1"/>
    <xf numFmtId="3" fontId="3" fillId="5" borderId="1" xfId="0" applyNumberFormat="1" applyFont="1" applyFill="1" applyBorder="1" applyAlignment="1">
      <alignment horizontal="left"/>
    </xf>
    <xf numFmtId="0" fontId="4" fillId="0" borderId="4" xfId="0" applyNumberFormat="1" applyFont="1" applyFill="1" applyBorder="1" applyAlignment="1">
      <alignment horizontal="center"/>
    </xf>
    <xf numFmtId="0" fontId="6" fillId="0" borderId="8" xfId="0" applyFont="1" applyFill="1" applyBorder="1"/>
    <xf numFmtId="0" fontId="6" fillId="0" borderId="0" xfId="0" applyFont="1" applyBorder="1"/>
    <xf numFmtId="0" fontId="15" fillId="0" borderId="4" xfId="0" applyFont="1" applyFill="1" applyBorder="1" applyAlignment="1">
      <alignment horizontal="center"/>
    </xf>
    <xf numFmtId="0" fontId="0" fillId="0" borderId="0" xfId="0" applyBorder="1"/>
    <xf numFmtId="0" fontId="15" fillId="0" borderId="0" xfId="0" applyFont="1" applyFill="1" applyBorder="1" applyAlignment="1">
      <alignment horizontal="center"/>
    </xf>
    <xf numFmtId="0" fontId="8" fillId="0" borderId="0" xfId="0" applyFont="1" applyFill="1" applyBorder="1" applyAlignment="1">
      <alignment horizontal="center"/>
    </xf>
    <xf numFmtId="0" fontId="3" fillId="0" borderId="0" xfId="0" applyFont="1" applyFill="1" applyBorder="1" applyAlignment="1">
      <alignment horizontal="center"/>
    </xf>
    <xf numFmtId="0" fontId="6" fillId="0" borderId="2" xfId="0" applyFont="1" applyBorder="1"/>
    <xf numFmtId="0" fontId="6" fillId="0" borderId="0" xfId="0" applyFont="1" applyFill="1" applyBorder="1" applyAlignment="1">
      <alignment horizontal="center"/>
    </xf>
    <xf numFmtId="0" fontId="6" fillId="2" borderId="0" xfId="0" applyNumberFormat="1" applyFont="1" applyFill="1" applyBorder="1" applyAlignment="1"/>
    <xf numFmtId="0" fontId="4" fillId="0" borderId="4" xfId="0" applyFont="1" applyFill="1" applyBorder="1" applyAlignment="1">
      <alignment horizontal="center"/>
    </xf>
    <xf numFmtId="0" fontId="24" fillId="0" borderId="2" xfId="0" applyFont="1" applyBorder="1" applyAlignment="1">
      <alignment horizontal="center" vertical="center"/>
    </xf>
    <xf numFmtId="0" fontId="8" fillId="0" borderId="2" xfId="0" applyFont="1" applyFill="1" applyBorder="1" applyAlignment="1">
      <alignment horizontal="left"/>
    </xf>
    <xf numFmtId="9" fontId="9" fillId="0" borderId="0" xfId="0" applyNumberFormat="1" applyFont="1" applyFill="1" applyBorder="1" applyAlignment="1">
      <alignment horizontal="center"/>
    </xf>
    <xf numFmtId="0" fontId="0" fillId="0" borderId="0" xfId="0" applyFill="1" applyBorder="1"/>
    <xf numFmtId="0" fontId="6" fillId="5" borderId="2" xfId="0" applyFont="1" applyFill="1" applyBorder="1"/>
    <xf numFmtId="0" fontId="3" fillId="0" borderId="14" xfId="0" applyFont="1" applyFill="1" applyBorder="1" applyAlignment="1">
      <alignment horizontal="center"/>
    </xf>
    <xf numFmtId="0" fontId="4" fillId="0" borderId="5" xfId="0" applyFont="1" applyFill="1" applyBorder="1" applyAlignment="1">
      <alignment horizontal="center"/>
    </xf>
    <xf numFmtId="0" fontId="6" fillId="0" borderId="0" xfId="0" applyNumberFormat="1" applyFont="1" applyAlignment="1"/>
    <xf numFmtId="0" fontId="3" fillId="0" borderId="0" xfId="0" applyNumberFormat="1" applyFont="1" applyAlignment="1">
      <alignment horizontal="center"/>
    </xf>
    <xf numFmtId="0" fontId="6" fillId="0" borderId="0" xfId="0" applyNumberFormat="1" applyFont="1" applyFill="1" applyAlignment="1"/>
    <xf numFmtId="0" fontId="6" fillId="0" borderId="0" xfId="0" applyNumberFormat="1" applyFont="1" applyAlignment="1">
      <alignment horizontal="center"/>
    </xf>
    <xf numFmtId="173" fontId="6" fillId="0" borderId="0" xfId="0" applyNumberFormat="1" applyFont="1" applyAlignment="1"/>
    <xf numFmtId="0" fontId="3" fillId="0" borderId="0" xfId="0" applyNumberFormat="1" applyFont="1" applyAlignment="1"/>
    <xf numFmtId="3" fontId="6" fillId="0" borderId="0" xfId="0" applyNumberFormat="1" applyFont="1" applyAlignment="1"/>
    <xf numFmtId="0" fontId="6" fillId="0" borderId="0" xfId="0" applyNumberFormat="1" applyFont="1" applyFill="1" applyBorder="1" applyAlignment="1"/>
    <xf numFmtId="169" fontId="6" fillId="0" borderId="0" xfId="0" applyNumberFormat="1" applyFont="1" applyBorder="1" applyAlignment="1"/>
    <xf numFmtId="0" fontId="6" fillId="0" borderId="0" xfId="0" applyNumberFormat="1" applyFont="1" applyBorder="1" applyAlignment="1"/>
    <xf numFmtId="0" fontId="6" fillId="0" borderId="9" xfId="0" applyNumberFormat="1" applyFont="1" applyFill="1" applyBorder="1" applyAlignment="1"/>
    <xf numFmtId="0" fontId="6" fillId="0" borderId="9" xfId="0" applyNumberFormat="1" applyFont="1" applyBorder="1" applyAlignment="1"/>
    <xf numFmtId="6" fontId="6" fillId="0" borderId="0" xfId="0" applyNumberFormat="1" applyFont="1" applyFill="1" applyBorder="1" applyAlignment="1"/>
    <xf numFmtId="6" fontId="6" fillId="0" borderId="9" xfId="0" applyNumberFormat="1" applyFont="1" applyFill="1" applyBorder="1" applyAlignment="1"/>
    <xf numFmtId="0" fontId="3" fillId="0" borderId="0" xfId="0" applyNumberFormat="1" applyFont="1" applyFill="1" applyBorder="1" applyAlignment="1"/>
    <xf numFmtId="6" fontId="3" fillId="0" borderId="0" xfId="0" applyNumberFormat="1" applyFont="1" applyAlignment="1"/>
    <xf numFmtId="0" fontId="4" fillId="0" borderId="0" xfId="0" applyNumberFormat="1" applyFont="1" applyFill="1" applyBorder="1" applyAlignment="1"/>
    <xf numFmtId="0" fontId="4" fillId="0" borderId="0" xfId="0" applyNumberFormat="1" applyFont="1" applyAlignment="1"/>
    <xf numFmtId="0" fontId="4" fillId="0" borderId="0" xfId="0" applyNumberFormat="1" applyFont="1" applyFill="1" applyAlignment="1"/>
    <xf numFmtId="40" fontId="4" fillId="0" borderId="0" xfId="0" applyNumberFormat="1" applyFont="1" applyFill="1" applyAlignment="1">
      <alignment horizontal="center"/>
    </xf>
    <xf numFmtId="0" fontId="3" fillId="0" borderId="0" xfId="0" applyNumberFormat="1" applyFont="1" applyFill="1" applyAlignment="1"/>
    <xf numFmtId="6" fontId="3" fillId="0" borderId="0" xfId="0" applyNumberFormat="1" applyFont="1" applyFill="1" applyAlignment="1"/>
    <xf numFmtId="0" fontId="3" fillId="0" borderId="0" xfId="0" applyNumberFormat="1" applyFont="1" applyAlignment="1">
      <alignment wrapText="1"/>
    </xf>
    <xf numFmtId="6" fontId="6" fillId="0" borderId="0" xfId="0" applyNumberFormat="1" applyFont="1" applyAlignment="1"/>
    <xf numFmtId="6" fontId="6" fillId="0" borderId="9" xfId="0" applyNumberFormat="1" applyFont="1" applyBorder="1" applyAlignment="1"/>
    <xf numFmtId="0" fontId="21" fillId="0" borderId="0" xfId="0" applyNumberFormat="1" applyFont="1" applyAlignment="1">
      <alignment wrapText="1"/>
    </xf>
    <xf numFmtId="164" fontId="4" fillId="0" borderId="0" xfId="2" applyNumberFormat="1" applyFont="1" applyAlignment="1"/>
    <xf numFmtId="6" fontId="31" fillId="0" borderId="0" xfId="0" applyNumberFormat="1" applyFont="1" applyFill="1" applyAlignment="1">
      <alignment horizontal="center"/>
    </xf>
    <xf numFmtId="0" fontId="3" fillId="0" borderId="22" xfId="0" applyNumberFormat="1" applyFont="1" applyBorder="1" applyAlignment="1"/>
    <xf numFmtId="0" fontId="6" fillId="0" borderId="22" xfId="0" applyNumberFormat="1" applyFont="1" applyBorder="1" applyAlignment="1"/>
    <xf numFmtId="0" fontId="3" fillId="9" borderId="0" xfId="0" applyNumberFormat="1" applyFont="1" applyFill="1" applyBorder="1" applyAlignment="1"/>
    <xf numFmtId="0" fontId="6" fillId="9" borderId="0" xfId="0" applyNumberFormat="1" applyFont="1" applyFill="1" applyBorder="1" applyAlignment="1"/>
    <xf numFmtId="6" fontId="6" fillId="9" borderId="0" xfId="0" applyNumberFormat="1" applyFont="1" applyFill="1" applyBorder="1" applyAlignment="1"/>
    <xf numFmtId="0" fontId="21" fillId="9" borderId="0" xfId="0" applyNumberFormat="1" applyFont="1" applyFill="1" applyBorder="1" applyAlignment="1">
      <alignment horizontal="center"/>
    </xf>
    <xf numFmtId="0" fontId="6" fillId="9" borderId="0" xfId="0" applyNumberFormat="1" applyFont="1" applyFill="1" applyAlignment="1"/>
    <xf numFmtId="0" fontId="0" fillId="0" borderId="0" xfId="0" applyNumberFormat="1" applyAlignment="1"/>
    <xf numFmtId="0" fontId="25" fillId="0" borderId="0" xfId="0" applyFont="1" applyFill="1" applyAlignment="1">
      <alignment horizontal="center"/>
    </xf>
    <xf numFmtId="0" fontId="0" fillId="0" borderId="0" xfId="0" applyFill="1"/>
    <xf numFmtId="3" fontId="3" fillId="9" borderId="1" xfId="0" applyNumberFormat="1" applyFont="1" applyFill="1" applyBorder="1" applyAlignment="1">
      <alignment horizontal="left" vertical="center"/>
    </xf>
    <xf numFmtId="3" fontId="4" fillId="9" borderId="2" xfId="0" applyNumberFormat="1" applyFont="1" applyFill="1" applyBorder="1" applyAlignment="1">
      <alignment horizontal="center" vertical="center"/>
    </xf>
    <xf numFmtId="0" fontId="0" fillId="4" borderId="2" xfId="0" applyFill="1" applyBorder="1"/>
    <xf numFmtId="0" fontId="0" fillId="4" borderId="3" xfId="0" applyFill="1" applyBorder="1"/>
    <xf numFmtId="0" fontId="6" fillId="2" borderId="4" xfId="0" applyNumberFormat="1" applyFont="1" applyFill="1" applyBorder="1" applyAlignment="1">
      <alignment vertical="center"/>
    </xf>
    <xf numFmtId="0" fontId="6" fillId="0" borderId="4" xfId="0" applyNumberFormat="1" applyFont="1" applyFill="1" applyBorder="1" applyAlignment="1">
      <alignment vertical="center"/>
    </xf>
    <xf numFmtId="9" fontId="3" fillId="2" borderId="5" xfId="2" applyFont="1" applyFill="1" applyBorder="1" applyAlignment="1">
      <alignment horizontal="center"/>
    </xf>
    <xf numFmtId="0" fontId="34" fillId="0" borderId="0" xfId="3" applyNumberFormat="1" applyFont="1" applyBorder="1" applyAlignment="1" applyProtection="1">
      <alignment vertical="center"/>
    </xf>
    <xf numFmtId="9" fontId="35" fillId="2" borderId="5" xfId="2" applyFont="1" applyFill="1" applyBorder="1" applyAlignment="1">
      <alignment horizontal="center"/>
    </xf>
    <xf numFmtId="0" fontId="4" fillId="0" borderId="0" xfId="0" applyNumberFormat="1" applyFont="1" applyFill="1" applyBorder="1" applyAlignment="1">
      <alignment horizontal="center"/>
    </xf>
    <xf numFmtId="9" fontId="6" fillId="2" borderId="5" xfId="2" applyFont="1" applyFill="1" applyBorder="1" applyAlignment="1">
      <alignment horizontal="center" vertical="center"/>
    </xf>
    <xf numFmtId="166" fontId="11" fillId="0" borderId="0" xfId="0" applyNumberFormat="1" applyFont="1" applyFill="1" applyBorder="1" applyAlignment="1">
      <alignment horizontal="center"/>
    </xf>
    <xf numFmtId="0" fontId="4" fillId="0" borderId="0" xfId="0" applyNumberFormat="1" applyFont="1" applyAlignment="1">
      <alignment horizontal="center"/>
    </xf>
    <xf numFmtId="0" fontId="4" fillId="0" borderId="9" xfId="0" applyNumberFormat="1" applyFont="1" applyFill="1" applyBorder="1" applyAlignment="1">
      <alignment horizontal="center"/>
    </xf>
    <xf numFmtId="0" fontId="21" fillId="0" borderId="0" xfId="0" applyNumberFormat="1" applyFont="1" applyAlignment="1">
      <alignment horizontal="center"/>
    </xf>
    <xf numFmtId="0" fontId="4" fillId="0" borderId="0" xfId="0" applyNumberFormat="1" applyFont="1" applyFill="1" applyAlignment="1">
      <alignment horizontal="center"/>
    </xf>
    <xf numFmtId="172" fontId="6" fillId="0" borderId="0" xfId="0" applyNumberFormat="1" applyFont="1" applyFill="1" applyAlignment="1">
      <alignment horizontal="center"/>
    </xf>
    <xf numFmtId="6" fontId="6" fillId="0" borderId="0" xfId="0" applyNumberFormat="1" applyFont="1" applyBorder="1" applyAlignment="1"/>
    <xf numFmtId="10" fontId="6" fillId="0" borderId="0" xfId="2" applyNumberFormat="1" applyFont="1" applyAlignment="1"/>
    <xf numFmtId="9" fontId="6" fillId="0" borderId="0" xfId="0" applyNumberFormat="1" applyFont="1" applyAlignment="1"/>
    <xf numFmtId="41" fontId="6" fillId="0" borderId="0" xfId="0" applyNumberFormat="1" applyFont="1" applyAlignment="1"/>
    <xf numFmtId="2" fontId="31" fillId="0" borderId="0" xfId="0" applyNumberFormat="1" applyFont="1" applyFill="1" applyAlignment="1">
      <alignment horizontal="center"/>
    </xf>
    <xf numFmtId="0" fontId="6" fillId="9" borderId="22" xfId="0" applyNumberFormat="1" applyFont="1" applyFill="1" applyBorder="1" applyAlignment="1"/>
    <xf numFmtId="2" fontId="4" fillId="0" borderId="0" xfId="0" applyNumberFormat="1" applyFont="1" applyBorder="1" applyAlignment="1"/>
    <xf numFmtId="0" fontId="6" fillId="0" borderId="22" xfId="0" applyFont="1" applyFill="1" applyBorder="1"/>
    <xf numFmtId="8" fontId="4" fillId="0" borderId="0" xfId="0" applyNumberFormat="1" applyFont="1" applyFill="1" applyBorder="1" applyAlignment="1">
      <alignment horizontal="center"/>
    </xf>
    <xf numFmtId="0" fontId="38" fillId="4" borderId="1" xfId="0" applyFont="1" applyFill="1" applyBorder="1" applyAlignment="1">
      <alignment horizontal="left" vertical="center"/>
    </xf>
    <xf numFmtId="0" fontId="25" fillId="4" borderId="2" xfId="0" applyFont="1" applyFill="1" applyBorder="1" applyAlignment="1">
      <alignment horizontal="center"/>
    </xf>
    <xf numFmtId="0" fontId="39" fillId="6" borderId="1" xfId="0" applyFont="1" applyFill="1" applyBorder="1"/>
    <xf numFmtId="0" fontId="40" fillId="6" borderId="2" xfId="0" applyFont="1" applyFill="1" applyBorder="1"/>
    <xf numFmtId="0" fontId="41" fillId="6" borderId="2" xfId="0" applyFont="1" applyFill="1" applyBorder="1" applyAlignment="1">
      <alignment horizontal="center"/>
    </xf>
    <xf numFmtId="9" fontId="24" fillId="0" borderId="4" xfId="0" applyNumberFormat="1" applyFont="1" applyFill="1" applyBorder="1" applyAlignment="1">
      <alignment horizontal="center"/>
    </xf>
    <xf numFmtId="0" fontId="4" fillId="4" borderId="3" xfId="0" applyNumberFormat="1" applyFont="1" applyFill="1" applyBorder="1" applyAlignment="1">
      <alignment horizontal="center" vertical="center"/>
    </xf>
    <xf numFmtId="9" fontId="6" fillId="0" borderId="0" xfId="2" applyFont="1" applyFill="1" applyBorder="1" applyAlignment="1">
      <alignment horizontal="center" vertical="center"/>
    </xf>
    <xf numFmtId="0" fontId="21" fillId="4" borderId="1" xfId="0" applyFont="1" applyFill="1" applyBorder="1"/>
    <xf numFmtId="0" fontId="6" fillId="4" borderId="2" xfId="0" applyFont="1" applyFill="1" applyBorder="1"/>
    <xf numFmtId="0" fontId="6" fillId="4" borderId="3" xfId="0" applyFont="1" applyFill="1" applyBorder="1"/>
    <xf numFmtId="0" fontId="40" fillId="6" borderId="3" xfId="0" applyFont="1" applyFill="1" applyBorder="1"/>
    <xf numFmtId="0" fontId="6" fillId="2" borderId="5" xfId="0" applyNumberFormat="1" applyFont="1" applyFill="1" applyBorder="1" applyAlignment="1">
      <alignment vertical="center"/>
    </xf>
    <xf numFmtId="169" fontId="6" fillId="0" borderId="5" xfId="1" applyNumberFormat="1" applyFont="1" applyBorder="1" applyAlignment="1">
      <alignment horizontal="center" vertical="center"/>
    </xf>
    <xf numFmtId="0" fontId="0" fillId="0" borderId="4" xfId="0" applyFill="1" applyBorder="1"/>
    <xf numFmtId="0" fontId="4" fillId="9" borderId="29" xfId="0" applyNumberFormat="1" applyFont="1" applyFill="1" applyBorder="1" applyAlignment="1">
      <alignment horizontal="center" vertical="center"/>
    </xf>
    <xf numFmtId="0" fontId="4" fillId="9" borderId="29" xfId="0" applyNumberFormat="1" applyFont="1" applyFill="1" applyBorder="1" applyAlignment="1">
      <alignment horizontal="center" vertical="center" wrapText="1"/>
    </xf>
    <xf numFmtId="0" fontId="33" fillId="2" borderId="0" xfId="0" applyNumberFormat="1" applyFont="1" applyFill="1" applyBorder="1" applyAlignment="1">
      <alignment vertical="center"/>
    </xf>
    <xf numFmtId="9" fontId="7" fillId="2" borderId="0" xfId="2" applyFont="1" applyFill="1" applyBorder="1" applyAlignment="1">
      <alignment horizontal="center" vertical="center"/>
    </xf>
    <xf numFmtId="9" fontId="24" fillId="0" borderId="0" xfId="0" applyNumberFormat="1" applyFont="1" applyFill="1" applyBorder="1" applyAlignment="1">
      <alignment horizontal="center"/>
    </xf>
    <xf numFmtId="0" fontId="6" fillId="0" borderId="0" xfId="0" applyNumberFormat="1" applyFont="1" applyFill="1" applyBorder="1" applyAlignment="1">
      <alignment vertical="center"/>
    </xf>
    <xf numFmtId="169" fontId="6" fillId="0" borderId="0" xfId="1" applyNumberFormat="1" applyFont="1" applyFill="1" applyBorder="1" applyAlignment="1">
      <alignment horizontal="center" vertical="center"/>
    </xf>
    <xf numFmtId="0" fontId="33" fillId="0" borderId="0" xfId="0" applyNumberFormat="1" applyFont="1" applyFill="1" applyBorder="1" applyAlignment="1">
      <alignment vertical="center"/>
    </xf>
    <xf numFmtId="169" fontId="7" fillId="0" borderId="0" xfId="1" applyNumberFormat="1" applyFont="1" applyFill="1" applyBorder="1" applyAlignment="1">
      <alignment horizontal="center" vertical="center"/>
    </xf>
    <xf numFmtId="9" fontId="7" fillId="0" borderId="0" xfId="2" applyFont="1" applyFill="1" applyBorder="1" applyAlignment="1">
      <alignment horizontal="center" vertical="center"/>
    </xf>
    <xf numFmtId="0" fontId="3" fillId="9" borderId="30" xfId="0" applyNumberFormat="1" applyFont="1" applyFill="1" applyBorder="1" applyAlignment="1">
      <alignment vertical="center"/>
    </xf>
    <xf numFmtId="169" fontId="6" fillId="0" borderId="4" xfId="0" applyNumberFormat="1" applyFont="1" applyFill="1" applyBorder="1" applyAlignment="1">
      <alignment vertical="center"/>
    </xf>
    <xf numFmtId="0" fontId="3" fillId="0" borderId="5" xfId="0" applyNumberFormat="1" applyFont="1" applyFill="1" applyBorder="1" applyAlignment="1">
      <alignment vertical="center"/>
    </xf>
    <xf numFmtId="0" fontId="6" fillId="0" borderId="5" xfId="0" applyNumberFormat="1" applyFont="1" applyFill="1" applyBorder="1" applyAlignment="1">
      <alignment vertical="center"/>
    </xf>
    <xf numFmtId="0" fontId="6" fillId="0" borderId="28" xfId="0" applyNumberFormat="1" applyFont="1" applyFill="1" applyBorder="1" applyAlignment="1">
      <alignment vertical="center"/>
    </xf>
    <xf numFmtId="6" fontId="6" fillId="0" borderId="28" xfId="0" applyNumberFormat="1" applyFont="1" applyFill="1" applyBorder="1" applyAlignment="1">
      <alignment vertical="center"/>
    </xf>
    <xf numFmtId="169" fontId="6" fillId="0" borderId="5" xfId="0" applyNumberFormat="1" applyFont="1" applyFill="1" applyBorder="1" applyAlignment="1">
      <alignment vertical="center"/>
    </xf>
    <xf numFmtId="169" fontId="3" fillId="0" borderId="5" xfId="0" applyNumberFormat="1" applyFont="1" applyFill="1" applyBorder="1" applyAlignment="1">
      <alignment vertical="center"/>
    </xf>
    <xf numFmtId="169" fontId="6" fillId="0" borderId="4" xfId="2" applyNumberFormat="1" applyFont="1" applyFill="1" applyBorder="1" applyAlignment="1">
      <alignment vertical="center"/>
    </xf>
    <xf numFmtId="9" fontId="35" fillId="0" borderId="0" xfId="2" applyFont="1" applyFill="1" applyBorder="1" applyAlignment="1">
      <alignment horizontal="center"/>
    </xf>
    <xf numFmtId="165" fontId="7" fillId="0" borderId="0" xfId="1" applyNumberFormat="1" applyFont="1" applyBorder="1" applyAlignment="1">
      <alignment horizontal="center" vertical="center"/>
    </xf>
    <xf numFmtId="169" fontId="6" fillId="0" borderId="4" xfId="1" applyNumberFormat="1" applyFont="1" applyBorder="1" applyAlignment="1">
      <alignment horizontal="center" vertical="center"/>
    </xf>
    <xf numFmtId="0" fontId="6" fillId="2" borderId="28" xfId="0" applyNumberFormat="1" applyFont="1" applyFill="1" applyBorder="1" applyAlignment="1">
      <alignment vertical="center"/>
    </xf>
    <xf numFmtId="169" fontId="6" fillId="0" borderId="28" xfId="1" applyNumberFormat="1" applyFont="1" applyBorder="1" applyAlignment="1">
      <alignment horizontal="center" vertical="center"/>
    </xf>
    <xf numFmtId="169" fontId="6" fillId="0" borderId="28" xfId="2" applyNumberFormat="1" applyFont="1" applyFill="1" applyBorder="1" applyAlignment="1">
      <alignment vertical="center"/>
    </xf>
    <xf numFmtId="0" fontId="4" fillId="0" borderId="0" xfId="0" applyNumberFormat="1" applyFont="1" applyFill="1" applyBorder="1" applyAlignment="1">
      <alignment horizontal="center" vertical="center"/>
    </xf>
    <xf numFmtId="0" fontId="6" fillId="0" borderId="0" xfId="0" applyNumberFormat="1" applyFont="1" applyFill="1" applyBorder="1" applyAlignment="1">
      <alignment horizontal="center"/>
    </xf>
    <xf numFmtId="169" fontId="6" fillId="0" borderId="28" xfId="0" applyNumberFormat="1" applyFont="1" applyFill="1" applyBorder="1" applyAlignment="1">
      <alignment vertical="center"/>
    </xf>
    <xf numFmtId="0" fontId="6" fillId="0" borderId="4" xfId="0" applyNumberFormat="1" applyFont="1" applyFill="1" applyBorder="1" applyAlignment="1">
      <alignment horizontal="right" vertical="center"/>
    </xf>
    <xf numFmtId="0" fontId="6" fillId="0" borderId="28" xfId="0" applyNumberFormat="1" applyFont="1" applyFill="1" applyBorder="1" applyAlignment="1">
      <alignment horizontal="right" vertical="center"/>
    </xf>
    <xf numFmtId="169" fontId="6" fillId="0" borderId="5" xfId="2" applyNumberFormat="1" applyFont="1" applyFill="1" applyBorder="1" applyAlignment="1">
      <alignment vertical="center"/>
    </xf>
    <xf numFmtId="0" fontId="6" fillId="0" borderId="5" xfId="0" applyNumberFormat="1" applyFont="1" applyFill="1" applyBorder="1" applyAlignment="1">
      <alignment horizontal="right" vertical="center"/>
    </xf>
    <xf numFmtId="0" fontId="4" fillId="9" borderId="31" xfId="0" applyNumberFormat="1" applyFont="1" applyFill="1" applyBorder="1" applyAlignment="1">
      <alignment horizontal="center" vertical="center" wrapText="1"/>
    </xf>
    <xf numFmtId="9" fontId="24" fillId="2" borderId="5" xfId="2" applyFont="1" applyFill="1" applyBorder="1" applyAlignment="1">
      <alignment horizontal="center" vertical="center"/>
    </xf>
    <xf numFmtId="0" fontId="42" fillId="2" borderId="4" xfId="0" applyNumberFormat="1" applyFont="1" applyFill="1" applyBorder="1" applyAlignment="1">
      <alignment vertical="center"/>
    </xf>
    <xf numFmtId="169" fontId="24" fillId="0" borderId="4" xfId="1" applyNumberFormat="1" applyFont="1" applyBorder="1" applyAlignment="1">
      <alignment horizontal="center" vertical="center"/>
    </xf>
    <xf numFmtId="0" fontId="42" fillId="2" borderId="28" xfId="0" applyNumberFormat="1" applyFont="1" applyFill="1" applyBorder="1" applyAlignment="1">
      <alignment vertical="center"/>
    </xf>
    <xf numFmtId="169" fontId="24" fillId="0" borderId="28" xfId="1" applyNumberFormat="1" applyFont="1" applyBorder="1" applyAlignment="1">
      <alignment horizontal="center" vertical="center"/>
    </xf>
    <xf numFmtId="9" fontId="24" fillId="2" borderId="28" xfId="2" applyFont="1" applyFill="1" applyBorder="1" applyAlignment="1">
      <alignment horizontal="center" vertical="center"/>
    </xf>
    <xf numFmtId="0" fontId="43" fillId="0" borderId="0" xfId="0" applyFont="1" applyFill="1" applyBorder="1" applyAlignment="1">
      <alignment horizontal="left"/>
    </xf>
    <xf numFmtId="0" fontId="43" fillId="0" borderId="0" xfId="0" applyFont="1" applyFill="1" applyBorder="1"/>
    <xf numFmtId="0" fontId="46" fillId="0" borderId="0" xfId="0" applyFont="1" applyBorder="1"/>
    <xf numFmtId="0" fontId="47" fillId="0" borderId="0" xfId="0" applyFont="1" applyBorder="1"/>
    <xf numFmtId="0" fontId="45" fillId="0" borderId="0" xfId="0" applyFont="1" applyBorder="1" applyAlignment="1">
      <alignment vertical="center"/>
    </xf>
    <xf numFmtId="0" fontId="29" fillId="0" borderId="0" xfId="0" applyFont="1" applyBorder="1" applyAlignment="1">
      <alignment vertical="center"/>
    </xf>
    <xf numFmtId="0" fontId="45" fillId="0" borderId="0" xfId="0" applyFont="1" applyBorder="1" applyAlignment="1">
      <alignment vertical="center" wrapText="1"/>
    </xf>
    <xf numFmtId="0" fontId="45" fillId="0" borderId="0" xfId="0" applyFont="1" applyBorder="1" applyAlignment="1"/>
    <xf numFmtId="0" fontId="45" fillId="0" borderId="0" xfId="0" applyFont="1" applyBorder="1" applyAlignment="1">
      <alignment wrapText="1"/>
    </xf>
    <xf numFmtId="0" fontId="45" fillId="0" borderId="0" xfId="0" applyFont="1" applyBorder="1"/>
    <xf numFmtId="0" fontId="45" fillId="0" borderId="0" xfId="0" applyFont="1" applyFill="1" applyBorder="1" applyAlignment="1">
      <alignment wrapText="1"/>
    </xf>
    <xf numFmtId="0" fontId="45" fillId="0" borderId="0" xfId="0" applyFont="1" applyFill="1" applyBorder="1" applyAlignment="1"/>
    <xf numFmtId="0" fontId="29" fillId="0" borderId="0" xfId="0" applyFont="1" applyBorder="1" applyAlignment="1">
      <alignment wrapText="1"/>
    </xf>
    <xf numFmtId="0" fontId="49" fillId="0" borderId="0" xfId="0" applyFont="1"/>
    <xf numFmtId="0" fontId="49" fillId="0" borderId="0" xfId="0" applyFont="1" applyAlignment="1">
      <alignment horizontal="center"/>
    </xf>
    <xf numFmtId="0" fontId="49" fillId="0" borderId="0" xfId="0" applyFont="1" applyAlignment="1">
      <alignment horizontal="center" vertical="center"/>
    </xf>
    <xf numFmtId="0" fontId="51" fillId="5" borderId="19" xfId="0" applyFont="1" applyFill="1" applyBorder="1" applyAlignment="1">
      <alignment horizontal="center" wrapText="1"/>
    </xf>
    <xf numFmtId="0" fontId="51" fillId="5" borderId="11" xfId="0" applyFont="1" applyFill="1" applyBorder="1" applyAlignment="1">
      <alignment horizontal="center" wrapText="1"/>
    </xf>
    <xf numFmtId="0" fontId="51" fillId="5" borderId="20" xfId="0" applyFont="1" applyFill="1" applyBorder="1" applyAlignment="1">
      <alignment horizontal="center" wrapText="1"/>
    </xf>
    <xf numFmtId="0" fontId="51" fillId="5" borderId="17" xfId="0" applyFont="1" applyFill="1" applyBorder="1" applyAlignment="1">
      <alignment horizontal="center"/>
    </xf>
    <xf numFmtId="0" fontId="51" fillId="5" borderId="0" xfId="0" applyFont="1" applyFill="1" applyBorder="1" applyAlignment="1">
      <alignment horizontal="center"/>
    </xf>
    <xf numFmtId="0" fontId="51" fillId="5" borderId="9" xfId="0" applyFont="1" applyFill="1" applyBorder="1" applyAlignment="1">
      <alignment horizontal="center"/>
    </xf>
    <xf numFmtId="0" fontId="51" fillId="5" borderId="18" xfId="0" applyFont="1" applyFill="1" applyBorder="1" applyAlignment="1">
      <alignment horizontal="center"/>
    </xf>
    <xf numFmtId="0" fontId="49" fillId="0" borderId="19" xfId="0" applyFont="1" applyBorder="1" applyAlignment="1">
      <alignment horizontal="center"/>
    </xf>
    <xf numFmtId="0" fontId="49" fillId="0" borderId="11" xfId="0" applyFont="1" applyBorder="1" applyAlignment="1">
      <alignment horizontal="center"/>
    </xf>
    <xf numFmtId="0" fontId="49" fillId="0" borderId="11" xfId="0" applyFont="1" applyBorder="1"/>
    <xf numFmtId="6" fontId="49" fillId="0" borderId="0" xfId="0" applyNumberFormat="1" applyFont="1" applyBorder="1" applyAlignment="1">
      <alignment horizontal="center" wrapText="1"/>
    </xf>
    <xf numFmtId="0" fontId="49" fillId="0" borderId="0" xfId="0" applyFont="1" applyFill="1" applyBorder="1"/>
    <xf numFmtId="0" fontId="49" fillId="0" borderId="17" xfId="0" applyFont="1" applyBorder="1" applyAlignment="1">
      <alignment horizontal="center"/>
    </xf>
    <xf numFmtId="2" fontId="49" fillId="0" borderId="0" xfId="0" applyNumberFormat="1" applyFont="1" applyBorder="1" applyAlignment="1">
      <alignment horizontal="center" wrapText="1"/>
    </xf>
    <xf numFmtId="10" fontId="49" fillId="0" borderId="0" xfId="2" applyNumberFormat="1" applyFont="1" applyBorder="1" applyAlignment="1">
      <alignment horizontal="center" wrapText="1"/>
    </xf>
    <xf numFmtId="2" fontId="49" fillId="0" borderId="18" xfId="2" applyNumberFormat="1" applyFont="1" applyBorder="1" applyAlignment="1">
      <alignment horizontal="center" wrapText="1"/>
    </xf>
    <xf numFmtId="0" fontId="49" fillId="0" borderId="0" xfId="0" applyFont="1" applyFill="1" applyBorder="1" applyAlignment="1">
      <alignment wrapText="1"/>
    </xf>
    <xf numFmtId="0" fontId="49" fillId="0" borderId="0" xfId="0" applyFont="1" applyAlignment="1">
      <alignment wrapText="1"/>
    </xf>
    <xf numFmtId="0" fontId="49" fillId="0" borderId="17" xfId="0" applyFont="1" applyBorder="1" applyAlignment="1">
      <alignment horizontal="center" wrapText="1"/>
    </xf>
    <xf numFmtId="0" fontId="49" fillId="0" borderId="15" xfId="0" applyFont="1" applyBorder="1"/>
    <xf numFmtId="0" fontId="49" fillId="0" borderId="9" xfId="0" applyFont="1" applyBorder="1"/>
    <xf numFmtId="0" fontId="51" fillId="4" borderId="1" xfId="0" applyFont="1" applyFill="1" applyBorder="1" applyAlignment="1">
      <alignment horizontal="left" vertical="center"/>
    </xf>
    <xf numFmtId="0" fontId="49" fillId="4" borderId="2" xfId="0" applyFont="1" applyFill="1" applyBorder="1" applyAlignment="1">
      <alignment horizontal="left" vertical="center"/>
    </xf>
    <xf numFmtId="0" fontId="52" fillId="4" borderId="2" xfId="0" applyFont="1" applyFill="1" applyBorder="1" applyAlignment="1">
      <alignment horizontal="left" vertical="center"/>
    </xf>
    <xf numFmtId="167" fontId="52" fillId="4" borderId="2" xfId="0" applyNumberFormat="1" applyFont="1" applyFill="1" applyBorder="1" applyAlignment="1">
      <alignment horizontal="left" vertical="center"/>
    </xf>
    <xf numFmtId="0" fontId="52" fillId="4" borderId="3" xfId="0" applyFont="1" applyFill="1" applyBorder="1" applyAlignment="1">
      <alignment horizontal="left" vertical="center"/>
    </xf>
    <xf numFmtId="0" fontId="52" fillId="0" borderId="0" xfId="0" applyFont="1" applyFill="1" applyBorder="1" applyAlignment="1">
      <alignment horizontal="center"/>
    </xf>
    <xf numFmtId="169" fontId="52" fillId="0" borderId="0" xfId="0" applyNumberFormat="1" applyFont="1" applyFill="1" applyBorder="1" applyAlignment="1">
      <alignment horizontal="center"/>
    </xf>
    <xf numFmtId="0" fontId="52" fillId="0" borderId="0" xfId="0" applyFont="1" applyFill="1" applyBorder="1"/>
    <xf numFmtId="0" fontId="53" fillId="0" borderId="11" xfId="0" applyFont="1" applyFill="1" applyBorder="1"/>
    <xf numFmtId="0" fontId="53" fillId="0" borderId="20" xfId="0" applyFont="1" applyFill="1" applyBorder="1"/>
    <xf numFmtId="6" fontId="54" fillId="0" borderId="9" xfId="0" applyNumberFormat="1" applyFont="1" applyFill="1" applyBorder="1" applyAlignment="1">
      <alignment horizontal="center" wrapText="1"/>
    </xf>
    <xf numFmtId="6" fontId="54" fillId="0" borderId="16" xfId="0" applyNumberFormat="1" applyFont="1" applyFill="1" applyBorder="1" applyAlignment="1">
      <alignment horizontal="center" wrapText="1"/>
    </xf>
    <xf numFmtId="6" fontId="54" fillId="0" borderId="0" xfId="0" applyNumberFormat="1" applyFont="1" applyFill="1" applyBorder="1" applyAlignment="1">
      <alignment horizontal="center" wrapText="1"/>
    </xf>
    <xf numFmtId="0" fontId="50" fillId="8" borderId="12" xfId="0" applyFont="1" applyFill="1" applyBorder="1" applyAlignment="1">
      <alignment vertical="center"/>
    </xf>
    <xf numFmtId="0" fontId="50" fillId="8" borderId="13" xfId="0" applyFont="1" applyFill="1" applyBorder="1" applyAlignment="1">
      <alignment vertical="center"/>
    </xf>
    <xf numFmtId="0" fontId="50" fillId="8" borderId="14" xfId="0" applyFont="1" applyFill="1" applyBorder="1" applyAlignment="1">
      <alignment vertical="center"/>
    </xf>
    <xf numFmtId="0" fontId="51" fillId="0" borderId="17" xfId="0" applyFont="1" applyBorder="1"/>
    <xf numFmtId="0" fontId="55" fillId="0" borderId="0" xfId="0" applyFont="1" applyBorder="1" applyAlignment="1">
      <alignment horizontal="center"/>
    </xf>
    <xf numFmtId="0" fontId="51" fillId="0" borderId="15" xfId="0" applyFont="1" applyBorder="1"/>
    <xf numFmtId="0" fontId="55" fillId="0" borderId="9" xfId="0" applyFont="1" applyBorder="1" applyAlignment="1">
      <alignment horizontal="center"/>
    </xf>
    <xf numFmtId="0" fontId="55" fillId="0" borderId="0" xfId="0" applyFont="1" applyAlignment="1">
      <alignment horizontal="center" wrapText="1"/>
    </xf>
    <xf numFmtId="0" fontId="49" fillId="0" borderId="0" xfId="0" applyFont="1" applyBorder="1" applyAlignment="1">
      <alignment wrapText="1"/>
    </xf>
    <xf numFmtId="0" fontId="44" fillId="5" borderId="12" xfId="0" applyFont="1" applyFill="1" applyBorder="1"/>
    <xf numFmtId="0" fontId="49" fillId="0" borderId="0" xfId="0" applyFont="1" applyFill="1" applyBorder="1" applyAlignment="1">
      <alignment horizontal="center"/>
    </xf>
    <xf numFmtId="0" fontId="49" fillId="0" borderId="0" xfId="0" applyFont="1" applyBorder="1" applyAlignment="1">
      <alignment horizontal="center"/>
    </xf>
    <xf numFmtId="167" fontId="49" fillId="0" borderId="0" xfId="0" applyNumberFormat="1" applyFont="1" applyFill="1" applyBorder="1" applyAlignment="1">
      <alignment horizontal="center"/>
    </xf>
    <xf numFmtId="164" fontId="49" fillId="0" borderId="21" xfId="2" applyNumberFormat="1" applyFont="1" applyBorder="1" applyAlignment="1">
      <alignment horizontal="center"/>
    </xf>
    <xf numFmtId="164" fontId="49" fillId="0" borderId="0" xfId="2" applyNumberFormat="1" applyFont="1" applyFill="1" applyBorder="1" applyAlignment="1">
      <alignment horizontal="center"/>
    </xf>
    <xf numFmtId="164" fontId="49" fillId="0" borderId="0" xfId="2" applyNumberFormat="1" applyFont="1" applyBorder="1" applyAlignment="1">
      <alignment horizontal="center"/>
    </xf>
    <xf numFmtId="0" fontId="49" fillId="0" borderId="21" xfId="0" applyFont="1" applyBorder="1" applyAlignment="1">
      <alignment horizontal="center"/>
    </xf>
    <xf numFmtId="169" fontId="49" fillId="0" borderId="21" xfId="0" applyNumberFormat="1" applyFont="1" applyBorder="1" applyAlignment="1">
      <alignment horizontal="center"/>
    </xf>
    <xf numFmtId="169" fontId="49" fillId="0" borderId="0" xfId="0" applyNumberFormat="1" applyFont="1" applyFill="1" applyBorder="1" applyAlignment="1">
      <alignment horizontal="center"/>
    </xf>
    <xf numFmtId="169" fontId="49" fillId="0" borderId="0" xfId="0" applyNumberFormat="1" applyFont="1" applyBorder="1" applyAlignment="1">
      <alignment horizontal="center"/>
    </xf>
    <xf numFmtId="0" fontId="55" fillId="0" borderId="0" xfId="0" applyFont="1" applyBorder="1" applyAlignment="1">
      <alignment horizontal="center" wrapText="1"/>
    </xf>
    <xf numFmtId="171" fontId="49" fillId="0" borderId="0" xfId="0" applyNumberFormat="1" applyFont="1" applyFill="1" applyBorder="1" applyAlignment="1">
      <alignment horizontal="center"/>
    </xf>
    <xf numFmtId="9" fontId="49" fillId="0" borderId="21" xfId="0" applyNumberFormat="1" applyFont="1" applyBorder="1" applyAlignment="1">
      <alignment horizontal="center"/>
    </xf>
    <xf numFmtId="9" fontId="49" fillId="0" borderId="0" xfId="0" applyNumberFormat="1" applyFont="1" applyFill="1" applyBorder="1" applyAlignment="1">
      <alignment horizontal="center"/>
    </xf>
    <xf numFmtId="9" fontId="49" fillId="0" borderId="0" xfId="0" applyNumberFormat="1" applyFont="1" applyBorder="1" applyAlignment="1">
      <alignment horizontal="center"/>
    </xf>
    <xf numFmtId="0" fontId="49" fillId="0" borderId="5" xfId="0" applyFont="1" applyBorder="1" applyAlignment="1">
      <alignment horizontal="center"/>
    </xf>
    <xf numFmtId="0" fontId="49" fillId="0" borderId="0" xfId="0" applyFont="1" applyBorder="1"/>
    <xf numFmtId="0" fontId="30" fillId="5" borderId="23" xfId="0" applyFont="1" applyFill="1" applyBorder="1" applyAlignment="1">
      <alignment vertical="center"/>
    </xf>
    <xf numFmtId="0" fontId="30" fillId="5" borderId="10" xfId="0" applyFont="1" applyFill="1" applyBorder="1" applyAlignment="1">
      <alignment vertical="center"/>
    </xf>
    <xf numFmtId="0" fontId="45" fillId="5" borderId="24" xfId="0" applyFont="1" applyFill="1" applyBorder="1" applyAlignment="1">
      <alignment vertical="center"/>
    </xf>
    <xf numFmtId="0" fontId="29" fillId="8" borderId="8" xfId="0" applyFont="1" applyFill="1" applyBorder="1" applyAlignment="1">
      <alignment vertical="center"/>
    </xf>
    <xf numFmtId="0" fontId="45" fillId="8" borderId="25" xfId="0" applyFont="1" applyFill="1" applyBorder="1" applyAlignment="1">
      <alignment vertical="center"/>
    </xf>
    <xf numFmtId="0" fontId="29" fillId="8" borderId="0" xfId="0" applyFont="1" applyFill="1" applyBorder="1" applyAlignment="1">
      <alignment vertical="center"/>
    </xf>
    <xf numFmtId="0" fontId="29" fillId="8" borderId="25" xfId="0" applyFont="1" applyFill="1" applyBorder="1" applyAlignment="1">
      <alignment vertical="center"/>
    </xf>
    <xf numFmtId="0" fontId="29" fillId="8" borderId="8" xfId="0" applyFont="1" applyFill="1" applyBorder="1" applyAlignment="1">
      <alignment horizontal="left" vertical="top" wrapText="1"/>
    </xf>
    <xf numFmtId="0" fontId="45" fillId="8" borderId="0" xfId="0" applyFont="1" applyFill="1" applyBorder="1" applyAlignment="1">
      <alignment vertical="center" wrapText="1"/>
    </xf>
    <xf numFmtId="0" fontId="45" fillId="8" borderId="25" xfId="0" applyFont="1" applyFill="1" applyBorder="1" applyAlignment="1">
      <alignment vertical="center" wrapText="1"/>
    </xf>
    <xf numFmtId="0" fontId="45" fillId="8" borderId="8" xfId="0" applyFont="1" applyFill="1" applyBorder="1" applyAlignment="1"/>
    <xf numFmtId="0" fontId="45" fillId="8" borderId="0" xfId="0" applyFont="1" applyFill="1" applyBorder="1" applyAlignment="1"/>
    <xf numFmtId="0" fontId="45" fillId="8" borderId="25" xfId="0" applyFont="1" applyFill="1" applyBorder="1" applyAlignment="1"/>
    <xf numFmtId="0" fontId="29" fillId="8" borderId="8" xfId="0" applyFont="1" applyFill="1" applyBorder="1" applyAlignment="1">
      <alignment vertical="top" wrapText="1"/>
    </xf>
    <xf numFmtId="0" fontId="45" fillId="8" borderId="0" xfId="0" applyFont="1" applyFill="1" applyBorder="1" applyAlignment="1">
      <alignment wrapText="1"/>
    </xf>
    <xf numFmtId="0" fontId="45" fillId="8" borderId="25" xfId="0" applyFont="1" applyFill="1" applyBorder="1" applyAlignment="1">
      <alignment wrapText="1"/>
    </xf>
    <xf numFmtId="0" fontId="46" fillId="8" borderId="0" xfId="0" applyFont="1" applyFill="1" applyBorder="1" applyAlignment="1">
      <alignment vertical="center"/>
    </xf>
    <xf numFmtId="0" fontId="29" fillId="8" borderId="25" xfId="0" applyFont="1" applyFill="1" applyBorder="1" applyAlignment="1">
      <alignment wrapText="1"/>
    </xf>
    <xf numFmtId="0" fontId="45" fillId="8" borderId="26" xfId="0" applyFont="1" applyFill="1" applyBorder="1" applyAlignment="1"/>
    <xf numFmtId="0" fontId="45" fillId="8" borderId="22" xfId="0" applyFont="1" applyFill="1" applyBorder="1" applyAlignment="1"/>
    <xf numFmtId="0" fontId="45" fillId="8" borderId="27" xfId="0" applyFont="1" applyFill="1" applyBorder="1" applyAlignment="1"/>
    <xf numFmtId="2" fontId="49" fillId="0" borderId="0" xfId="0" applyNumberFormat="1" applyFont="1" applyBorder="1"/>
    <xf numFmtId="9" fontId="57" fillId="0" borderId="0" xfId="0" applyNumberFormat="1" applyFont="1" applyBorder="1" applyAlignment="1">
      <alignment horizontal="center"/>
    </xf>
    <xf numFmtId="0" fontId="57" fillId="0" borderId="0" xfId="0" applyFont="1" applyBorder="1" applyAlignment="1">
      <alignment horizontal="center"/>
    </xf>
    <xf numFmtId="0" fontId="50" fillId="0" borderId="0" xfId="0" applyFont="1" applyFill="1" applyBorder="1" applyAlignment="1">
      <alignment vertical="center"/>
    </xf>
    <xf numFmtId="0" fontId="49" fillId="0" borderId="0" xfId="0" applyFont="1" applyFill="1"/>
    <xf numFmtId="9" fontId="50" fillId="0" borderId="0" xfId="0" applyNumberFormat="1" applyFont="1" applyFill="1" applyBorder="1" applyAlignment="1">
      <alignment vertical="center"/>
    </xf>
    <xf numFmtId="0" fontId="49" fillId="0" borderId="0" xfId="0" applyFont="1" applyBorder="1" applyAlignment="1"/>
    <xf numFmtId="0" fontId="6" fillId="0" borderId="0" xfId="0" applyFont="1" applyFill="1" applyBorder="1" applyAlignment="1">
      <alignment horizontal="right"/>
    </xf>
    <xf numFmtId="0" fontId="36" fillId="0" borderId="0" xfId="0" applyNumberFormat="1" applyFont="1" applyAlignment="1">
      <alignment horizontal="center"/>
    </xf>
    <xf numFmtId="0" fontId="6" fillId="0" borderId="0" xfId="0" applyNumberFormat="1" applyFont="1" applyFill="1" applyBorder="1" applyAlignment="1">
      <alignment horizontal="left" vertical="center"/>
    </xf>
    <xf numFmtId="9" fontId="28" fillId="0" borderId="0" xfId="0" applyNumberFormat="1" applyFont="1" applyAlignment="1">
      <alignment horizontal="center"/>
    </xf>
    <xf numFmtId="0" fontId="49" fillId="0" borderId="17" xfId="0" applyFont="1" applyFill="1" applyBorder="1"/>
    <xf numFmtId="0" fontId="4" fillId="0" borderId="4" xfId="0" applyNumberFormat="1" applyFont="1" applyBorder="1" applyAlignment="1">
      <alignment horizontal="center"/>
    </xf>
    <xf numFmtId="0" fontId="3" fillId="8" borderId="0" xfId="0" applyNumberFormat="1" applyFont="1" applyFill="1" applyAlignment="1"/>
    <xf numFmtId="0" fontId="6" fillId="8" borderId="0" xfId="0" applyNumberFormat="1" applyFont="1" applyFill="1" applyAlignment="1"/>
    <xf numFmtId="0" fontId="6" fillId="8" borderId="0" xfId="0" applyNumberFormat="1" applyFont="1" applyFill="1" applyAlignment="1">
      <alignment horizontal="center"/>
    </xf>
    <xf numFmtId="0" fontId="37" fillId="8" borderId="0" xfId="0" applyNumberFormat="1" applyFont="1" applyFill="1" applyAlignment="1"/>
    <xf numFmtId="0" fontId="22" fillId="8" borderId="0" xfId="0" applyNumberFormat="1" applyFont="1" applyFill="1" applyAlignment="1">
      <alignment horizontal="center"/>
    </xf>
    <xf numFmtId="169" fontId="6" fillId="8" borderId="0" xfId="0" applyNumberFormat="1" applyFont="1" applyFill="1" applyAlignment="1">
      <alignment horizontal="center"/>
    </xf>
    <xf numFmtId="0" fontId="7" fillId="8" borderId="0" xfId="0" applyNumberFormat="1" applyFont="1" applyFill="1" applyAlignment="1"/>
    <xf numFmtId="10" fontId="12" fillId="8" borderId="0" xfId="2" applyNumberFormat="1" applyFont="1" applyFill="1"/>
    <xf numFmtId="10" fontId="6" fillId="8" borderId="0" xfId="2" applyNumberFormat="1" applyFont="1" applyFill="1"/>
    <xf numFmtId="169" fontId="36" fillId="8" borderId="0" xfId="0" applyNumberFormat="1" applyFont="1" applyFill="1" applyAlignment="1">
      <alignment horizontal="center"/>
    </xf>
    <xf numFmtId="169" fontId="6" fillId="8" borderId="0" xfId="0" applyNumberFormat="1" applyFont="1" applyFill="1" applyAlignment="1"/>
    <xf numFmtId="169" fontId="6" fillId="8" borderId="0" xfId="0" applyNumberFormat="1" applyFont="1" applyFill="1" applyBorder="1" applyAlignment="1"/>
    <xf numFmtId="169" fontId="6" fillId="8" borderId="0" xfId="2" applyNumberFormat="1" applyFont="1" applyFill="1"/>
    <xf numFmtId="169" fontId="6" fillId="8" borderId="0" xfId="2" applyNumberFormat="1" applyFont="1" applyFill="1" applyBorder="1"/>
    <xf numFmtId="0" fontId="6" fillId="8" borderId="9" xfId="0" applyNumberFormat="1" applyFont="1" applyFill="1" applyBorder="1" applyAlignment="1"/>
    <xf numFmtId="169" fontId="6" fillId="8" borderId="9" xfId="0" applyNumberFormat="1" applyFont="1" applyFill="1" applyBorder="1" applyAlignment="1"/>
    <xf numFmtId="0" fontId="6" fillId="8" borderId="0" xfId="0" applyNumberFormat="1" applyFont="1" applyFill="1" applyBorder="1" applyAlignment="1"/>
    <xf numFmtId="169" fontId="4" fillId="8" borderId="0" xfId="0" applyNumberFormat="1" applyFont="1" applyFill="1" applyBorder="1" applyAlignment="1">
      <alignment horizontal="center" vertical="center"/>
    </xf>
    <xf numFmtId="1" fontId="6" fillId="8" borderId="0" xfId="2" applyNumberFormat="1" applyFont="1" applyFill="1" applyBorder="1"/>
    <xf numFmtId="169" fontId="6" fillId="8" borderId="0" xfId="0" applyNumberFormat="1" applyFont="1" applyFill="1" applyBorder="1" applyAlignment="1">
      <alignment horizontal="right"/>
    </xf>
    <xf numFmtId="0" fontId="6" fillId="8" borderId="0" xfId="0" applyNumberFormat="1" applyFont="1" applyFill="1" applyAlignment="1">
      <alignment horizontal="left" indent="1"/>
    </xf>
    <xf numFmtId="6" fontId="6" fillId="8" borderId="0" xfId="0" applyNumberFormat="1" applyFont="1" applyFill="1" applyBorder="1" applyAlignment="1">
      <alignment horizontal="right"/>
    </xf>
    <xf numFmtId="0" fontId="4" fillId="8" borderId="22" xfId="0" applyNumberFormat="1" applyFont="1" applyFill="1" applyBorder="1" applyAlignment="1">
      <alignment horizontal="right"/>
    </xf>
    <xf numFmtId="0" fontId="6" fillId="8" borderId="22" xfId="0" applyNumberFormat="1" applyFont="1" applyFill="1" applyBorder="1" applyAlignment="1"/>
    <xf numFmtId="0" fontId="3" fillId="8" borderId="22" xfId="0" applyNumberFormat="1" applyFont="1" applyFill="1" applyBorder="1" applyAlignment="1">
      <alignment horizontal="center"/>
    </xf>
    <xf numFmtId="10" fontId="6" fillId="8" borderId="22" xfId="2" applyNumberFormat="1" applyFont="1" applyFill="1" applyBorder="1" applyAlignment="1">
      <alignment horizontal="right"/>
    </xf>
    <xf numFmtId="0" fontId="3" fillId="8" borderId="0" xfId="0" applyNumberFormat="1" applyFont="1" applyFill="1" applyBorder="1" applyAlignment="1">
      <alignment horizontal="center"/>
    </xf>
    <xf numFmtId="10" fontId="6" fillId="8" borderId="0" xfId="2" applyNumberFormat="1" applyFont="1" applyFill="1" applyBorder="1" applyAlignment="1">
      <alignment horizontal="right"/>
    </xf>
    <xf numFmtId="175" fontId="3" fillId="8" borderId="0" xfId="0" applyNumberFormat="1" applyFont="1" applyFill="1" applyAlignment="1">
      <alignment horizontal="left"/>
    </xf>
    <xf numFmtId="175" fontId="6" fillId="8" borderId="0" xfId="0" applyNumberFormat="1" applyFont="1" applyFill="1" applyAlignment="1">
      <alignment horizontal="left"/>
    </xf>
    <xf numFmtId="41" fontId="6" fillId="8" borderId="0" xfId="0" applyNumberFormat="1" applyFont="1" applyFill="1" applyBorder="1" applyAlignment="1">
      <alignment horizontal="right" wrapText="1"/>
    </xf>
    <xf numFmtId="174" fontId="32" fillId="8" borderId="0" xfId="1" applyNumberFormat="1" applyFont="1" applyFill="1" applyBorder="1" applyAlignment="1">
      <alignment horizontal="right"/>
    </xf>
    <xf numFmtId="9" fontId="6" fillId="8" borderId="0" xfId="0" applyNumberFormat="1" applyFont="1" applyFill="1" applyBorder="1" applyAlignment="1">
      <alignment horizontal="right" wrapText="1"/>
    </xf>
    <xf numFmtId="41" fontId="6" fillId="8" borderId="4" xfId="0" applyNumberFormat="1" applyFont="1" applyFill="1" applyBorder="1" applyAlignment="1">
      <alignment horizontal="right" wrapText="1"/>
    </xf>
    <xf numFmtId="175" fontId="6" fillId="8" borderId="0" xfId="0" applyNumberFormat="1" applyFont="1" applyFill="1" applyAlignment="1">
      <alignment horizontal="left" indent="2"/>
    </xf>
    <xf numFmtId="175" fontId="6" fillId="8" borderId="0" xfId="0" applyNumberFormat="1" applyFont="1" applyFill="1" applyAlignment="1">
      <alignment horizontal="right"/>
    </xf>
    <xf numFmtId="175" fontId="6" fillId="8" borderId="0" xfId="0" applyNumberFormat="1" applyFont="1" applyFill="1" applyAlignment="1">
      <alignment horizontal="left" indent="1"/>
    </xf>
    <xf numFmtId="41" fontId="12" fillId="8" borderId="0" xfId="0" applyNumberFormat="1" applyFont="1" applyFill="1" applyBorder="1" applyAlignment="1">
      <alignment horizontal="right" wrapText="1"/>
    </xf>
    <xf numFmtId="6" fontId="6" fillId="8" borderId="0" xfId="0" applyNumberFormat="1" applyFont="1" applyFill="1" applyAlignment="1">
      <alignment horizontal="right" wrapText="1"/>
    </xf>
    <xf numFmtId="175" fontId="6" fillId="8" borderId="0" xfId="0" applyNumberFormat="1" applyFont="1" applyFill="1" applyBorder="1" applyAlignment="1">
      <alignment horizontal="left" indent="1"/>
    </xf>
    <xf numFmtId="41" fontId="6" fillId="8" borderId="0" xfId="0" applyNumberFormat="1" applyFont="1" applyFill="1" applyAlignment="1">
      <alignment horizontal="right" wrapText="1"/>
    </xf>
    <xf numFmtId="175" fontId="6" fillId="8" borderId="0" xfId="0" applyNumberFormat="1" applyFont="1" applyFill="1" applyAlignment="1">
      <alignment horizontal="right" wrapText="1"/>
    </xf>
    <xf numFmtId="41" fontId="12" fillId="8" borderId="0" xfId="0" applyNumberFormat="1" applyFont="1" applyFill="1" applyAlignment="1">
      <alignment horizontal="right" wrapText="1"/>
    </xf>
    <xf numFmtId="41" fontId="12" fillId="8" borderId="9" xfId="0" applyNumberFormat="1" applyFont="1" applyFill="1" applyBorder="1" applyAlignment="1">
      <alignment horizontal="right" wrapText="1"/>
    </xf>
    <xf numFmtId="6" fontId="6" fillId="8" borderId="9" xfId="0" applyNumberFormat="1" applyFont="1" applyFill="1" applyBorder="1" applyAlignment="1">
      <alignment horizontal="right" wrapText="1"/>
    </xf>
    <xf numFmtId="0" fontId="0" fillId="8" borderId="0" xfId="0" applyNumberFormat="1" applyFill="1" applyAlignment="1"/>
    <xf numFmtId="175" fontId="6" fillId="8" borderId="22" xfId="0" applyNumberFormat="1" applyFont="1" applyFill="1" applyBorder="1" applyAlignment="1">
      <alignment horizontal="left" indent="1"/>
    </xf>
    <xf numFmtId="0" fontId="0" fillId="8" borderId="22" xfId="0" applyNumberFormat="1" applyFill="1" applyBorder="1" applyAlignment="1"/>
    <xf numFmtId="6" fontId="6" fillId="8" borderId="22" xfId="0" applyNumberFormat="1" applyFont="1" applyFill="1" applyBorder="1" applyAlignment="1">
      <alignment horizontal="right" wrapText="1"/>
    </xf>
    <xf numFmtId="169" fontId="58" fillId="8" borderId="0" xfId="0" applyNumberFormat="1" applyFont="1" applyFill="1" applyBorder="1" applyAlignment="1"/>
    <xf numFmtId="9" fontId="59" fillId="0" borderId="0" xfId="0" applyNumberFormat="1" applyFont="1" applyFill="1" applyBorder="1" applyAlignment="1">
      <alignment horizontal="center"/>
    </xf>
    <xf numFmtId="0" fontId="49" fillId="0" borderId="0" xfId="0" applyFont="1" applyBorder="1" applyAlignment="1">
      <alignment horizontal="center"/>
    </xf>
    <xf numFmtId="0" fontId="45" fillId="8" borderId="0" xfId="0" applyFont="1" applyFill="1" applyBorder="1" applyAlignment="1">
      <alignment vertical="top" wrapText="1"/>
    </xf>
    <xf numFmtId="0" fontId="30" fillId="5" borderId="8" xfId="0" applyFont="1" applyFill="1" applyBorder="1" applyAlignment="1">
      <alignment vertical="center"/>
    </xf>
    <xf numFmtId="0" fontId="30" fillId="5" borderId="0" xfId="0" applyFont="1" applyFill="1" applyBorder="1" applyAlignment="1">
      <alignment vertical="center"/>
    </xf>
    <xf numFmtId="0" fontId="45" fillId="5" borderId="25" xfId="0" applyFont="1" applyFill="1" applyBorder="1" applyAlignment="1">
      <alignment vertical="center"/>
    </xf>
    <xf numFmtId="0" fontId="45" fillId="8" borderId="0" xfId="0" applyFont="1" applyFill="1" applyBorder="1" applyAlignment="1">
      <alignment horizontal="left" vertical="center"/>
    </xf>
    <xf numFmtId="0" fontId="45" fillId="8" borderId="0" xfId="0" applyFont="1" applyFill="1" applyBorder="1" applyAlignment="1">
      <alignment horizontal="left" vertical="center" wrapText="1"/>
    </xf>
    <xf numFmtId="165" fontId="0" fillId="0" borderId="0" xfId="1" applyNumberFormat="1" applyFont="1"/>
    <xf numFmtId="9" fontId="24" fillId="6" borderId="5" xfId="0" applyNumberFormat="1" applyFont="1" applyFill="1" applyBorder="1" applyAlignment="1">
      <alignment horizontal="center"/>
    </xf>
    <xf numFmtId="0" fontId="42" fillId="2" borderId="6" xfId="0" applyNumberFormat="1" applyFont="1" applyFill="1" applyBorder="1" applyAlignment="1">
      <alignment vertical="center"/>
    </xf>
    <xf numFmtId="169" fontId="24" fillId="0" borderId="6" xfId="1" applyNumberFormat="1" applyFont="1" applyBorder="1" applyAlignment="1">
      <alignment horizontal="center" vertical="center"/>
    </xf>
    <xf numFmtId="2" fontId="6" fillId="0" borderId="0" xfId="0" applyNumberFormat="1" applyFont="1" applyFill="1" applyAlignment="1">
      <alignment horizontal="right"/>
    </xf>
    <xf numFmtId="6" fontId="6" fillId="8" borderId="0" xfId="0" applyNumberFormat="1" applyFont="1" applyFill="1" applyAlignment="1">
      <alignment horizontal="right" vertical="center" wrapText="1"/>
    </xf>
    <xf numFmtId="0" fontId="56" fillId="0" borderId="0" xfId="0" applyFont="1" applyBorder="1" applyAlignment="1">
      <alignment horizontal="center" vertical="center" wrapText="1"/>
    </xf>
    <xf numFmtId="0" fontId="55" fillId="7" borderId="4" xfId="0" applyFont="1" applyFill="1" applyBorder="1" applyAlignment="1">
      <alignment horizontal="center"/>
    </xf>
    <xf numFmtId="164" fontId="51" fillId="0" borderId="17" xfId="2" applyNumberFormat="1" applyFont="1" applyFill="1" applyBorder="1" applyAlignment="1">
      <alignment horizontal="center"/>
    </xf>
    <xf numFmtId="10" fontId="49" fillId="0" borderId="21" xfId="0" applyNumberFormat="1" applyFont="1" applyBorder="1" applyAlignment="1">
      <alignment horizontal="center"/>
    </xf>
    <xf numFmtId="0" fontId="6" fillId="9" borderId="30" xfId="0" applyNumberFormat="1" applyFont="1" applyFill="1" applyBorder="1" applyAlignment="1">
      <alignment horizontal="center" vertical="center"/>
    </xf>
    <xf numFmtId="0" fontId="6" fillId="9" borderId="7" xfId="0" applyNumberFormat="1" applyFont="1" applyFill="1" applyBorder="1" applyAlignment="1">
      <alignment horizontal="center" vertical="center" wrapText="1"/>
    </xf>
    <xf numFmtId="0" fontId="61" fillId="0" borderId="0" xfId="0" applyFont="1" applyFill="1" applyBorder="1" applyAlignment="1">
      <alignment vertical="center"/>
    </xf>
    <xf numFmtId="0" fontId="0" fillId="0" borderId="22" xfId="0" applyBorder="1"/>
    <xf numFmtId="0" fontId="6" fillId="0" borderId="25" xfId="0" applyFont="1" applyFill="1" applyBorder="1"/>
    <xf numFmtId="0" fontId="62" fillId="0" borderId="0" xfId="0" applyFont="1" applyFill="1" applyBorder="1" applyAlignment="1">
      <alignment vertical="center"/>
    </xf>
    <xf numFmtId="176" fontId="4" fillId="0" borderId="4" xfId="0" applyNumberFormat="1" applyFont="1" applyFill="1" applyBorder="1" applyAlignment="1">
      <alignment horizontal="center"/>
    </xf>
    <xf numFmtId="2" fontId="44" fillId="0" borderId="22" xfId="0" applyNumberFormat="1" applyFont="1" applyFill="1" applyBorder="1" applyAlignment="1">
      <alignment horizontal="center"/>
    </xf>
    <xf numFmtId="6" fontId="63" fillId="0" borderId="0" xfId="0" applyNumberFormat="1" applyFont="1" applyAlignment="1"/>
    <xf numFmtId="6" fontId="63" fillId="0" borderId="9" xfId="0" applyNumberFormat="1" applyFont="1" applyBorder="1" applyAlignment="1"/>
    <xf numFmtId="0" fontId="51" fillId="0" borderId="0" xfId="0" applyFont="1" applyBorder="1"/>
    <xf numFmtId="164" fontId="51" fillId="0" borderId="0" xfId="2" applyNumberFormat="1" applyFont="1" applyFill="1" applyBorder="1" applyAlignment="1">
      <alignment horizontal="center"/>
    </xf>
    <xf numFmtId="0" fontId="49" fillId="0" borderId="4" xfId="0" applyFont="1" applyBorder="1"/>
    <xf numFmtId="0" fontId="55" fillId="0" borderId="9" xfId="0" applyFont="1" applyFill="1" applyBorder="1" applyAlignment="1">
      <alignment horizontal="center"/>
    </xf>
    <xf numFmtId="0" fontId="51" fillId="0" borderId="9" xfId="0" applyFont="1" applyFill="1" applyBorder="1" applyAlignment="1">
      <alignment horizontal="center"/>
    </xf>
    <xf numFmtId="0" fontId="55" fillId="5" borderId="14" xfId="0" applyFont="1" applyFill="1" applyBorder="1" applyAlignment="1">
      <alignment horizontal="center"/>
    </xf>
    <xf numFmtId="0" fontId="6" fillId="0" borderId="0" xfId="0" applyNumberFormat="1" applyFont="1" applyAlignment="1">
      <alignment wrapText="1"/>
    </xf>
    <xf numFmtId="9" fontId="6" fillId="0" borderId="9" xfId="0" applyNumberFormat="1" applyFont="1" applyBorder="1" applyAlignment="1"/>
    <xf numFmtId="9" fontId="64" fillId="0" borderId="0" xfId="0" applyNumberFormat="1" applyFont="1" applyAlignment="1"/>
    <xf numFmtId="6" fontId="6" fillId="8" borderId="0" xfId="0" applyNumberFormat="1" applyFont="1" applyFill="1" applyBorder="1" applyAlignment="1"/>
    <xf numFmtId="0" fontId="22" fillId="8" borderId="0" xfId="0" applyNumberFormat="1" applyFont="1" applyFill="1" applyAlignment="1"/>
    <xf numFmtId="0" fontId="8" fillId="0" borderId="23" xfId="0" applyFont="1" applyFill="1" applyBorder="1" applyAlignment="1">
      <alignment horizontal="center"/>
    </xf>
    <xf numFmtId="0" fontId="8" fillId="0" borderId="10" xfId="0" applyFont="1" applyFill="1" applyBorder="1" applyAlignment="1">
      <alignment horizontal="center"/>
    </xf>
    <xf numFmtId="0" fontId="6" fillId="0" borderId="10" xfId="0" applyFont="1" applyFill="1" applyBorder="1"/>
    <xf numFmtId="6" fontId="3" fillId="0" borderId="22" xfId="0" applyNumberFormat="1" applyFont="1" applyBorder="1" applyAlignment="1"/>
    <xf numFmtId="1" fontId="24" fillId="0" borderId="0" xfId="0" applyNumberFormat="1" applyFont="1" applyFill="1" applyBorder="1" applyAlignment="1">
      <alignment horizontal="right"/>
    </xf>
    <xf numFmtId="164" fontId="24" fillId="0" borderId="0" xfId="2" applyNumberFormat="1" applyFont="1" applyFill="1" applyBorder="1" applyAlignment="1">
      <alignment horizontal="right"/>
    </xf>
    <xf numFmtId="0" fontId="24" fillId="0" borderId="0" xfId="0" applyFont="1" applyFill="1" applyBorder="1" applyAlignment="1">
      <alignment horizontal="right"/>
    </xf>
    <xf numFmtId="171" fontId="24" fillId="0" borderId="0" xfId="1" applyNumberFormat="1" applyFont="1" applyFill="1" applyBorder="1" applyAlignment="1">
      <alignment horizontal="right"/>
    </xf>
    <xf numFmtId="6" fontId="24" fillId="0" borderId="0" xfId="0" applyNumberFormat="1" applyFont="1" applyFill="1" applyBorder="1" applyAlignment="1">
      <alignment horizontal="right"/>
    </xf>
    <xf numFmtId="169" fontId="6" fillId="0" borderId="0" xfId="0" applyNumberFormat="1" applyFont="1" applyFill="1" applyBorder="1" applyAlignment="1">
      <alignment horizontal="right"/>
    </xf>
    <xf numFmtId="169" fontId="6" fillId="0" borderId="0" xfId="1" applyNumberFormat="1" applyFont="1" applyFill="1" applyBorder="1" applyAlignment="1">
      <alignment horizontal="right"/>
    </xf>
    <xf numFmtId="6" fontId="6" fillId="0" borderId="0" xfId="0" applyNumberFormat="1" applyFont="1" applyFill="1" applyBorder="1" applyAlignment="1">
      <alignment horizontal="right"/>
    </xf>
    <xf numFmtId="164" fontId="24" fillId="0" borderId="0" xfId="0" applyNumberFormat="1" applyFont="1" applyFill="1" applyBorder="1" applyAlignment="1">
      <alignment horizontal="right"/>
    </xf>
    <xf numFmtId="2" fontId="24" fillId="0" borderId="0" xfId="2" applyNumberFormat="1" applyFont="1" applyFill="1" applyBorder="1" applyAlignment="1">
      <alignment horizontal="right"/>
    </xf>
    <xf numFmtId="2" fontId="6" fillId="0" borderId="0" xfId="2" applyNumberFormat="1" applyFont="1" applyFill="1" applyBorder="1" applyAlignment="1">
      <alignment horizontal="right"/>
    </xf>
    <xf numFmtId="2" fontId="24" fillId="0" borderId="0" xfId="0" applyNumberFormat="1" applyFont="1" applyFill="1" applyBorder="1" applyAlignment="1">
      <alignment horizontal="center"/>
    </xf>
    <xf numFmtId="9" fontId="24" fillId="0" borderId="0" xfId="2" applyFont="1" applyFill="1" applyBorder="1" applyAlignment="1">
      <alignment horizontal="center"/>
    </xf>
    <xf numFmtId="164" fontId="5" fillId="0" borderId="0" xfId="2" applyNumberFormat="1" applyFont="1" applyFill="1" applyBorder="1" applyAlignment="1">
      <alignment horizontal="center"/>
    </xf>
    <xf numFmtId="171" fontId="6" fillId="0" borderId="0" xfId="1" applyNumberFormat="1" applyFont="1" applyFill="1" applyBorder="1" applyAlignment="1">
      <alignment horizontal="right"/>
    </xf>
    <xf numFmtId="170" fontId="4" fillId="0" borderId="0" xfId="0" applyNumberFormat="1" applyFont="1" applyFill="1" applyBorder="1" applyAlignment="1">
      <alignment horizontal="center"/>
    </xf>
    <xf numFmtId="171" fontId="24" fillId="0" borderId="0" xfId="0" applyNumberFormat="1" applyFont="1" applyFill="1" applyBorder="1" applyAlignment="1">
      <alignment horizontal="right"/>
    </xf>
    <xf numFmtId="2" fontId="24" fillId="0" borderId="0" xfId="0" applyNumberFormat="1" applyFont="1" applyFill="1" applyBorder="1" applyAlignment="1">
      <alignment horizontal="right"/>
    </xf>
    <xf numFmtId="169" fontId="24" fillId="0" borderId="0" xfId="0" applyNumberFormat="1" applyFont="1" applyFill="1" applyBorder="1" applyAlignment="1">
      <alignment horizontal="right"/>
    </xf>
    <xf numFmtId="9" fontId="12" fillId="0" borderId="0" xfId="2" applyFont="1" applyFill="1" applyBorder="1" applyAlignment="1">
      <alignment horizontal="right"/>
    </xf>
    <xf numFmtId="9" fontId="24" fillId="0" borderId="0" xfId="2" applyNumberFormat="1" applyFont="1" applyFill="1" applyBorder="1" applyAlignment="1">
      <alignment horizontal="right"/>
    </xf>
    <xf numFmtId="10" fontId="24" fillId="0" borderId="0" xfId="2" applyNumberFormat="1" applyFont="1" applyFill="1" applyBorder="1" applyAlignment="1">
      <alignment horizontal="right"/>
    </xf>
    <xf numFmtId="9" fontId="6" fillId="0" borderId="0" xfId="2" applyNumberFormat="1" applyFont="1" applyFill="1" applyBorder="1" applyAlignment="1">
      <alignment horizontal="right"/>
    </xf>
    <xf numFmtId="9" fontId="5" fillId="0" borderId="0" xfId="2" applyFont="1" applyFill="1" applyBorder="1" applyAlignment="1">
      <alignment horizontal="right"/>
    </xf>
    <xf numFmtId="0" fontId="15" fillId="0" borderId="32" xfId="0" applyFont="1" applyFill="1" applyBorder="1" applyAlignment="1">
      <alignment horizontal="center"/>
    </xf>
    <xf numFmtId="10" fontId="4" fillId="0" borderId="0" xfId="2" applyNumberFormat="1" applyFont="1" applyFill="1" applyBorder="1" applyAlignment="1">
      <alignment horizontal="right"/>
    </xf>
    <xf numFmtId="0" fontId="6" fillId="0" borderId="26" xfId="0" applyFont="1" applyFill="1" applyBorder="1"/>
    <xf numFmtId="0" fontId="6" fillId="0" borderId="24" xfId="0" applyFont="1" applyFill="1" applyBorder="1"/>
    <xf numFmtId="0" fontId="3" fillId="0" borderId="8" xfId="0" applyFont="1" applyFill="1" applyBorder="1" applyAlignment="1">
      <alignment horizontal="center"/>
    </xf>
    <xf numFmtId="164" fontId="4" fillId="0" borderId="0" xfId="2" applyNumberFormat="1" applyFont="1" applyAlignment="1">
      <alignment horizontal="center"/>
    </xf>
    <xf numFmtId="174" fontId="3" fillId="0" borderId="0" xfId="5" applyNumberFormat="1" applyFont="1" applyFill="1" applyBorder="1" applyAlignment="1">
      <alignment horizontal="center"/>
    </xf>
    <xf numFmtId="2" fontId="0" fillId="0" borderId="0" xfId="0" applyNumberFormat="1"/>
    <xf numFmtId="9" fontId="4" fillId="0" borderId="0" xfId="2" applyFont="1" applyAlignment="1">
      <alignment horizontal="center"/>
    </xf>
    <xf numFmtId="9" fontId="4" fillId="0" borderId="0" xfId="0" applyNumberFormat="1" applyFont="1" applyAlignment="1">
      <alignment horizontal="center"/>
    </xf>
    <xf numFmtId="0" fontId="22" fillId="0" borderId="0" xfId="0" applyNumberFormat="1" applyFont="1" applyFill="1" applyBorder="1" applyAlignment="1"/>
    <xf numFmtId="2" fontId="36" fillId="0" borderId="0" xfId="0" applyNumberFormat="1" applyFont="1" applyBorder="1" applyAlignment="1"/>
    <xf numFmtId="0" fontId="6" fillId="0" borderId="27" xfId="0" applyFont="1" applyFill="1" applyBorder="1"/>
    <xf numFmtId="0" fontId="3" fillId="0" borderId="22" xfId="0" applyFont="1" applyFill="1" applyBorder="1" applyAlignment="1">
      <alignment horizontal="center"/>
    </xf>
    <xf numFmtId="0" fontId="6" fillId="0" borderId="9" xfId="0" applyNumberFormat="1" applyFont="1" applyBorder="1" applyAlignment="1">
      <alignment wrapText="1"/>
    </xf>
    <xf numFmtId="0" fontId="66" fillId="0" borderId="19" xfId="0" applyFont="1" applyBorder="1"/>
    <xf numFmtId="0" fontId="66" fillId="0" borderId="20" xfId="0" applyFont="1" applyBorder="1"/>
    <xf numFmtId="6" fontId="66" fillId="0" borderId="17" xfId="0" applyNumberFormat="1" applyFont="1" applyBorder="1" applyAlignment="1">
      <alignment horizontal="center" wrapText="1"/>
    </xf>
    <xf numFmtId="6" fontId="66" fillId="0" borderId="18" xfId="0" applyNumberFormat="1" applyFont="1" applyBorder="1" applyAlignment="1">
      <alignment horizontal="center" wrapText="1"/>
    </xf>
    <xf numFmtId="0" fontId="66" fillId="0" borderId="15" xfId="0" applyFont="1" applyBorder="1"/>
    <xf numFmtId="0" fontId="66" fillId="0" borderId="16" xfId="0" applyFont="1" applyBorder="1"/>
    <xf numFmtId="6" fontId="67" fillId="0" borderId="0" xfId="0" applyNumberFormat="1" applyFont="1" applyAlignment="1"/>
    <xf numFmtId="6" fontId="15" fillId="0" borderId="0" xfId="0" applyNumberFormat="1" applyFont="1" applyFill="1" applyAlignment="1"/>
    <xf numFmtId="0" fontId="60" fillId="5" borderId="1" xfId="0" applyFont="1" applyFill="1" applyBorder="1"/>
    <xf numFmtId="0" fontId="6" fillId="5" borderId="3" xfId="0" applyFont="1" applyFill="1" applyBorder="1"/>
    <xf numFmtId="170" fontId="4" fillId="3" borderId="0" xfId="0" applyNumberFormat="1" applyFont="1" applyFill="1" applyBorder="1" applyAlignment="1">
      <alignment horizontal="center"/>
    </xf>
    <xf numFmtId="0" fontId="6" fillId="3" borderId="0" xfId="0" applyFont="1" applyFill="1" applyBorder="1"/>
    <xf numFmtId="14" fontId="6" fillId="3" borderId="0" xfId="0" applyNumberFormat="1" applyFont="1" applyFill="1" applyBorder="1" applyAlignment="1">
      <alignment horizontal="center"/>
    </xf>
    <xf numFmtId="168" fontId="5" fillId="0" borderId="0" xfId="0" applyNumberFormat="1" applyFont="1" applyFill="1" applyBorder="1" applyAlignment="1">
      <alignment horizontal="center"/>
    </xf>
    <xf numFmtId="167" fontId="5" fillId="0" borderId="0" xfId="0" applyNumberFormat="1" applyFont="1" applyFill="1" applyBorder="1" applyAlignment="1">
      <alignment horizontal="center"/>
    </xf>
    <xf numFmtId="169" fontId="5" fillId="0" borderId="0" xfId="1" applyNumberFormat="1" applyFont="1" applyFill="1" applyBorder="1" applyAlignment="1">
      <alignment horizontal="center"/>
    </xf>
    <xf numFmtId="169" fontId="6" fillId="0" borderId="0" xfId="1" applyNumberFormat="1" applyFont="1" applyFill="1" applyBorder="1" applyAlignment="1">
      <alignment horizontal="center"/>
    </xf>
    <xf numFmtId="171" fontId="5" fillId="0" borderId="0" xfId="1" applyNumberFormat="1" applyFont="1" applyFill="1" applyBorder="1" applyAlignment="1">
      <alignment horizontal="center"/>
    </xf>
    <xf numFmtId="164" fontId="5" fillId="3" borderId="0" xfId="2" applyNumberFormat="1" applyFont="1" applyFill="1" applyBorder="1" applyAlignment="1">
      <alignment horizontal="center"/>
    </xf>
    <xf numFmtId="0" fontId="3" fillId="3" borderId="0" xfId="0" applyFont="1" applyFill="1" applyBorder="1" applyAlignment="1">
      <alignment horizontal="center"/>
    </xf>
    <xf numFmtId="9" fontId="5" fillId="0" borderId="0" xfId="2" applyFont="1" applyFill="1" applyBorder="1" applyAlignment="1">
      <alignment horizontal="center"/>
    </xf>
    <xf numFmtId="0" fontId="8" fillId="5" borderId="10" xfId="0" applyFont="1" applyFill="1" applyBorder="1" applyAlignment="1">
      <alignment vertical="center"/>
    </xf>
    <xf numFmtId="0" fontId="62" fillId="5" borderId="10" xfId="0" applyFont="1" applyFill="1" applyBorder="1" applyAlignment="1">
      <alignment vertical="center"/>
    </xf>
    <xf numFmtId="0" fontId="62" fillId="5" borderId="24" xfId="0" applyFont="1" applyFill="1" applyBorder="1" applyAlignment="1">
      <alignment vertical="center"/>
    </xf>
    <xf numFmtId="1" fontId="0" fillId="0" borderId="0" xfId="0" applyNumberFormat="1" applyAlignment="1"/>
    <xf numFmtId="10" fontId="6" fillId="8" borderId="0" xfId="2" applyNumberFormat="1" applyFont="1" applyFill="1" applyAlignment="1">
      <alignment horizontal="right" wrapText="1"/>
    </xf>
    <xf numFmtId="6" fontId="22" fillId="8" borderId="0" xfId="0" applyNumberFormat="1" applyFont="1" applyFill="1" applyAlignment="1">
      <alignment horizontal="center" wrapText="1"/>
    </xf>
    <xf numFmtId="177" fontId="6" fillId="8" borderId="0" xfId="0" applyNumberFormat="1" applyFont="1" applyFill="1" applyAlignment="1">
      <alignment horizontal="center" wrapText="1"/>
    </xf>
    <xf numFmtId="1" fontId="24" fillId="8" borderId="0" xfId="0" applyNumberFormat="1" applyFont="1" applyFill="1" applyAlignment="1">
      <alignment horizontal="right" wrapText="1"/>
    </xf>
    <xf numFmtId="177" fontId="6" fillId="8" borderId="0" xfId="0" applyNumberFormat="1" applyFont="1" applyFill="1" applyAlignment="1">
      <alignment horizontal="right" wrapText="1"/>
    </xf>
    <xf numFmtId="0" fontId="0" fillId="0" borderId="0" xfId="0" applyNumberFormat="1" applyFill="1" applyAlignment="1"/>
    <xf numFmtId="1" fontId="0" fillId="0" borderId="0" xfId="0" applyNumberFormat="1" applyFill="1" applyAlignment="1"/>
    <xf numFmtId="1" fontId="0" fillId="8" borderId="22" xfId="0" applyNumberFormat="1" applyFill="1" applyBorder="1" applyAlignment="1"/>
    <xf numFmtId="175" fontId="3" fillId="8" borderId="0" xfId="0" applyNumberFormat="1" applyFont="1" applyFill="1" applyAlignment="1">
      <alignment horizontal="left" indent="1"/>
    </xf>
    <xf numFmtId="176" fontId="4" fillId="0" borderId="0" xfId="0" applyNumberFormat="1" applyFont="1" applyFill="1" applyAlignment="1">
      <alignment horizontal="center"/>
    </xf>
    <xf numFmtId="1" fontId="43" fillId="0" borderId="0" xfId="0" applyNumberFormat="1" applyFont="1" applyFill="1" applyBorder="1" applyAlignment="1">
      <alignment horizontal="center"/>
    </xf>
    <xf numFmtId="0" fontId="69" fillId="5" borderId="4" xfId="0" applyNumberFormat="1" applyFont="1" applyFill="1" applyBorder="1" applyAlignment="1">
      <alignment horizontal="center"/>
    </xf>
    <xf numFmtId="0" fontId="69" fillId="5" borderId="6" xfId="0" applyNumberFormat="1" applyFont="1" applyFill="1" applyBorder="1" applyAlignment="1">
      <alignment horizontal="center"/>
    </xf>
    <xf numFmtId="2" fontId="16" fillId="5" borderId="5" xfId="0" applyNumberFormat="1" applyFont="1" applyFill="1" applyBorder="1" applyAlignment="1">
      <alignment horizontal="center"/>
    </xf>
    <xf numFmtId="0" fontId="70" fillId="0" borderId="0" xfId="0" applyFont="1" applyFill="1" applyBorder="1"/>
    <xf numFmtId="0" fontId="21" fillId="5" borderId="2" xfId="0" applyNumberFormat="1" applyFont="1" applyFill="1" applyBorder="1" applyAlignment="1">
      <alignment horizontal="center"/>
    </xf>
    <xf numFmtId="0" fontId="22" fillId="0" borderId="0" xfId="0" applyFont="1" applyFill="1" applyBorder="1" applyAlignment="1">
      <alignment horizontal="center"/>
    </xf>
    <xf numFmtId="0" fontId="21" fillId="5" borderId="1" xfId="0" applyFont="1" applyFill="1" applyBorder="1"/>
    <xf numFmtId="0" fontId="6" fillId="4" borderId="0" xfId="0" applyFont="1" applyFill="1" applyBorder="1"/>
    <xf numFmtId="0" fontId="3" fillId="4" borderId="0" xfId="0" applyFont="1" applyFill="1" applyBorder="1" applyAlignment="1">
      <alignment horizontal="center"/>
    </xf>
    <xf numFmtId="0" fontId="6" fillId="4" borderId="23" xfId="0" applyFont="1" applyFill="1" applyBorder="1"/>
    <xf numFmtId="0" fontId="6" fillId="4" borderId="10" xfId="0" applyFont="1" applyFill="1" applyBorder="1"/>
    <xf numFmtId="0" fontId="3" fillId="4" borderId="10" xfId="0" applyFont="1" applyFill="1" applyBorder="1" applyAlignment="1">
      <alignment horizontal="center"/>
    </xf>
    <xf numFmtId="0" fontId="6" fillId="4" borderId="8" xfId="0" applyFont="1" applyFill="1" applyBorder="1"/>
    <xf numFmtId="0" fontId="71" fillId="4" borderId="0" xfId="0" applyFont="1" applyFill="1" applyBorder="1" applyAlignment="1"/>
    <xf numFmtId="0" fontId="6" fillId="4" borderId="25" xfId="0" applyFont="1" applyFill="1" applyBorder="1"/>
    <xf numFmtId="0" fontId="6" fillId="4" borderId="26" xfId="0" applyFont="1" applyFill="1" applyBorder="1"/>
    <xf numFmtId="0" fontId="6" fillId="4" borderId="22" xfId="0" applyFont="1" applyFill="1" applyBorder="1"/>
    <xf numFmtId="0" fontId="71" fillId="4" borderId="22" xfId="0" applyFont="1" applyFill="1" applyBorder="1" applyAlignment="1"/>
    <xf numFmtId="0" fontId="3" fillId="4" borderId="22" xfId="0" applyFont="1" applyFill="1" applyBorder="1" applyAlignment="1">
      <alignment horizontal="center"/>
    </xf>
    <xf numFmtId="0" fontId="6" fillId="4" borderId="27" xfId="0" applyFont="1" applyFill="1" applyBorder="1"/>
    <xf numFmtId="0" fontId="60" fillId="4" borderId="10" xfId="0" applyNumberFormat="1" applyFont="1" applyFill="1" applyBorder="1" applyAlignment="1"/>
    <xf numFmtId="0" fontId="51" fillId="0" borderId="12" xfId="0" applyFont="1" applyBorder="1" applyAlignment="1">
      <alignment vertical="center"/>
    </xf>
    <xf numFmtId="0" fontId="49" fillId="0" borderId="14" xfId="0" applyFont="1" applyBorder="1"/>
    <xf numFmtId="44" fontId="6" fillId="0" borderId="0" xfId="1" applyFont="1" applyFill="1" applyBorder="1"/>
    <xf numFmtId="0" fontId="16" fillId="5" borderId="4" xfId="0" applyFont="1" applyFill="1" applyBorder="1" applyAlignment="1">
      <alignment horizontal="center"/>
    </xf>
    <xf numFmtId="164" fontId="24" fillId="0" borderId="4" xfId="2" applyNumberFormat="1" applyFont="1" applyFill="1" applyBorder="1" applyAlignment="1">
      <alignment horizontal="center"/>
    </xf>
    <xf numFmtId="0" fontId="70" fillId="0" borderId="0" xfId="0" applyFont="1" applyFill="1" applyBorder="1" applyAlignment="1">
      <alignment horizontal="center"/>
    </xf>
    <xf numFmtId="0" fontId="4" fillId="0" borderId="5" xfId="0" applyNumberFormat="1" applyFont="1" applyFill="1" applyBorder="1" applyAlignment="1">
      <alignment horizontal="center"/>
    </xf>
    <xf numFmtId="164" fontId="16" fillId="5" borderId="6" xfId="2" applyNumberFormat="1" applyFont="1" applyFill="1" applyBorder="1" applyAlignment="1">
      <alignment horizontal="center"/>
    </xf>
    <xf numFmtId="0" fontId="6" fillId="12" borderId="0" xfId="0" applyFont="1" applyFill="1" applyBorder="1"/>
    <xf numFmtId="170" fontId="4" fillId="12" borderId="0" xfId="0" applyNumberFormat="1" applyFont="1" applyFill="1" applyBorder="1" applyAlignment="1">
      <alignment horizontal="center"/>
    </xf>
    <xf numFmtId="9" fontId="5" fillId="12" borderId="0" xfId="2" applyFont="1" applyFill="1" applyBorder="1" applyAlignment="1">
      <alignment horizontal="center"/>
    </xf>
    <xf numFmtId="169" fontId="5" fillId="12" borderId="0" xfId="2" applyNumberFormat="1" applyFont="1" applyFill="1" applyBorder="1" applyAlignment="1">
      <alignment horizontal="center"/>
    </xf>
    <xf numFmtId="0" fontId="15" fillId="12" borderId="0" xfId="0" applyFont="1" applyFill="1" applyBorder="1" applyAlignment="1">
      <alignment horizontal="center"/>
    </xf>
    <xf numFmtId="0" fontId="3" fillId="12" borderId="0" xfId="0" applyFont="1" applyFill="1" applyBorder="1" applyAlignment="1">
      <alignment horizontal="center"/>
    </xf>
    <xf numFmtId="0" fontId="5" fillId="12" borderId="0" xfId="0" applyNumberFormat="1" applyFont="1" applyFill="1" applyBorder="1" applyAlignment="1">
      <alignment horizontal="center"/>
    </xf>
    <xf numFmtId="2" fontId="0" fillId="8" borderId="0" xfId="0" applyNumberFormat="1" applyFill="1" applyAlignment="1"/>
    <xf numFmtId="6" fontId="3" fillId="0" borderId="0" xfId="0" applyNumberFormat="1" applyFont="1" applyFill="1" applyBorder="1" applyAlignment="1">
      <alignment horizontal="center"/>
    </xf>
    <xf numFmtId="0" fontId="3" fillId="0" borderId="33" xfId="0" applyNumberFormat="1" applyFont="1" applyBorder="1" applyAlignment="1">
      <alignment horizontal="center"/>
    </xf>
    <xf numFmtId="2" fontId="44" fillId="10" borderId="34" xfId="0" applyNumberFormat="1" applyFont="1" applyFill="1" applyBorder="1" applyAlignment="1">
      <alignment horizontal="center"/>
    </xf>
    <xf numFmtId="0" fontId="21" fillId="0" borderId="34" xfId="0" applyNumberFormat="1" applyFont="1" applyBorder="1" applyAlignment="1">
      <alignment horizontal="center"/>
    </xf>
    <xf numFmtId="0" fontId="55" fillId="0" borderId="13" xfId="0" applyFont="1" applyBorder="1" applyAlignment="1">
      <alignment horizontal="center"/>
    </xf>
    <xf numFmtId="164" fontId="72" fillId="0" borderId="14" xfId="2" applyNumberFormat="1" applyFont="1" applyFill="1" applyBorder="1" applyAlignment="1">
      <alignment horizontal="center"/>
    </xf>
    <xf numFmtId="0" fontId="77" fillId="0" borderId="12" xfId="0" applyFont="1" applyBorder="1"/>
    <xf numFmtId="2" fontId="3" fillId="0" borderId="0" xfId="0" applyNumberFormat="1" applyFont="1" applyFill="1" applyBorder="1" applyAlignment="1">
      <alignment horizontal="center"/>
    </xf>
    <xf numFmtId="1" fontId="81" fillId="0" borderId="0" xfId="0" applyNumberFormat="1" applyFont="1" applyFill="1" applyBorder="1" applyAlignment="1">
      <alignment horizontal="center"/>
    </xf>
    <xf numFmtId="6" fontId="27" fillId="0" borderId="0" xfId="0" applyNumberFormat="1" applyFont="1" applyFill="1" applyBorder="1" applyAlignment="1">
      <alignment horizontal="center"/>
    </xf>
    <xf numFmtId="6" fontId="80" fillId="0" borderId="0" xfId="0" applyNumberFormat="1" applyFont="1" applyFill="1" applyBorder="1" applyAlignment="1"/>
    <xf numFmtId="6" fontId="80" fillId="0" borderId="0" xfId="0" applyNumberFormat="1" applyFont="1" applyFill="1" applyBorder="1" applyAlignment="1">
      <alignment horizontal="center"/>
    </xf>
    <xf numFmtId="1" fontId="80" fillId="0" borderId="0" xfId="0" applyNumberFormat="1" applyFont="1" applyFill="1" applyBorder="1" applyAlignment="1">
      <alignment horizontal="center"/>
    </xf>
    <xf numFmtId="0" fontId="81" fillId="0" borderId="0" xfId="0" applyNumberFormat="1" applyFont="1" applyFill="1" applyBorder="1" applyAlignment="1"/>
    <xf numFmtId="0" fontId="6" fillId="0" borderId="18" xfId="0" applyFont="1" applyFill="1" applyBorder="1"/>
    <xf numFmtId="0" fontId="8" fillId="0" borderId="17" xfId="0" applyFont="1" applyFill="1" applyBorder="1" applyAlignment="1">
      <alignment horizontal="center"/>
    </xf>
    <xf numFmtId="0" fontId="51" fillId="5" borderId="1" xfId="0" applyFont="1" applyFill="1" applyBorder="1"/>
    <xf numFmtId="0" fontId="55" fillId="5" borderId="2" xfId="0" applyFont="1" applyFill="1" applyBorder="1" applyAlignment="1">
      <alignment horizontal="center"/>
    </xf>
    <xf numFmtId="0" fontId="72" fillId="7" borderId="7" xfId="0" applyFont="1" applyFill="1" applyBorder="1" applyAlignment="1">
      <alignment horizontal="center"/>
    </xf>
    <xf numFmtId="1" fontId="28" fillId="0" borderId="5" xfId="0" applyNumberFormat="1" applyFont="1" applyBorder="1" applyAlignment="1">
      <alignment horizontal="center"/>
    </xf>
    <xf numFmtId="2" fontId="24" fillId="0" borderId="5" xfId="0" applyNumberFormat="1" applyFont="1" applyBorder="1" applyAlignment="1">
      <alignment horizontal="center"/>
    </xf>
    <xf numFmtId="1" fontId="28" fillId="0" borderId="4" xfId="0" applyNumberFormat="1" applyFont="1" applyBorder="1" applyAlignment="1">
      <alignment horizontal="center"/>
    </xf>
    <xf numFmtId="2" fontId="24" fillId="0" borderId="4" xfId="0" applyNumberFormat="1" applyFont="1" applyBorder="1" applyAlignment="1">
      <alignment horizontal="center"/>
    </xf>
    <xf numFmtId="164" fontId="82" fillId="3" borderId="6" xfId="2" applyNumberFormat="1" applyFont="1" applyFill="1" applyBorder="1" applyAlignment="1">
      <alignment horizontal="center" vertical="center" wrapText="1"/>
    </xf>
    <xf numFmtId="0" fontId="4" fillId="0" borderId="0" xfId="0" applyFont="1" applyFill="1" applyBorder="1" applyAlignment="1">
      <alignment horizontal="center"/>
    </xf>
    <xf numFmtId="3" fontId="3" fillId="5" borderId="6" xfId="0" applyNumberFormat="1" applyFont="1" applyFill="1" applyBorder="1" applyAlignment="1">
      <alignment horizontal="left"/>
    </xf>
    <xf numFmtId="166" fontId="11" fillId="0" borderId="25" xfId="0" applyNumberFormat="1" applyFont="1" applyFill="1" applyBorder="1" applyAlignment="1">
      <alignment horizontal="center"/>
    </xf>
    <xf numFmtId="1" fontId="43" fillId="0" borderId="25" xfId="0" applyNumberFormat="1" applyFont="1" applyFill="1" applyBorder="1" applyAlignment="1">
      <alignment horizontal="center"/>
    </xf>
    <xf numFmtId="1" fontId="43" fillId="0" borderId="25" xfId="0" applyNumberFormat="1" applyFont="1" applyFill="1" applyBorder="1" applyAlignment="1">
      <alignment horizontal="left"/>
    </xf>
    <xf numFmtId="2" fontId="6" fillId="0" borderId="0" xfId="0" applyNumberFormat="1" applyFont="1" applyFill="1" applyBorder="1" applyAlignment="1">
      <alignment horizontal="center"/>
    </xf>
    <xf numFmtId="2" fontId="70" fillId="0" borderId="0" xfId="2" applyNumberFormat="1" applyFont="1" applyFill="1" applyBorder="1" applyAlignment="1">
      <alignment horizontal="right"/>
    </xf>
    <xf numFmtId="0" fontId="51" fillId="13" borderId="12" xfId="0" applyFont="1" applyFill="1" applyBorder="1" applyAlignment="1">
      <alignment wrapText="1"/>
    </xf>
    <xf numFmtId="0" fontId="55" fillId="13" borderId="14" xfId="0" applyFont="1" applyFill="1" applyBorder="1" applyAlignment="1">
      <alignment horizontal="center"/>
    </xf>
    <xf numFmtId="0" fontId="51" fillId="13" borderId="17" xfId="0" applyFont="1" applyFill="1" applyBorder="1" applyAlignment="1">
      <alignment wrapText="1"/>
    </xf>
    <xf numFmtId="0" fontId="55" fillId="13" borderId="0" xfId="0" applyFont="1" applyFill="1" applyBorder="1" applyAlignment="1">
      <alignment horizontal="center"/>
    </xf>
    <xf numFmtId="166" fontId="21" fillId="5" borderId="3" xfId="0" applyNumberFormat="1" applyFont="1" applyFill="1" applyBorder="1" applyAlignment="1">
      <alignment horizontal="center"/>
    </xf>
    <xf numFmtId="0" fontId="3" fillId="0" borderId="0" xfId="0" applyFont="1" applyFill="1" applyBorder="1" applyAlignment="1">
      <alignment horizontal="left"/>
    </xf>
    <xf numFmtId="0" fontId="62" fillId="5" borderId="1" xfId="0" applyFont="1" applyFill="1" applyBorder="1" applyAlignment="1">
      <alignment vertical="center"/>
    </xf>
    <xf numFmtId="3" fontId="3" fillId="5" borderId="6" xfId="0" applyNumberFormat="1" applyFont="1" applyFill="1" applyBorder="1" applyAlignment="1">
      <alignment horizontal="center"/>
    </xf>
    <xf numFmtId="0" fontId="6" fillId="0" borderId="23" xfId="0" applyFont="1" applyFill="1" applyBorder="1"/>
    <xf numFmtId="0" fontId="24" fillId="0" borderId="10" xfId="0" applyFont="1" applyFill="1" applyBorder="1" applyAlignment="1">
      <alignment horizontal="center" vertical="center"/>
    </xf>
    <xf numFmtId="0" fontId="6" fillId="0" borderId="10" xfId="0" applyFont="1" applyFill="1" applyBorder="1" applyAlignment="1">
      <alignment horizontal="center"/>
    </xf>
    <xf numFmtId="0" fontId="24" fillId="0" borderId="24" xfId="0" applyFont="1" applyFill="1" applyBorder="1" applyAlignment="1">
      <alignment horizontal="center" vertical="center"/>
    </xf>
    <xf numFmtId="0" fontId="15" fillId="0" borderId="5" xfId="0" applyFont="1" applyFill="1" applyBorder="1" applyAlignment="1">
      <alignment horizontal="center"/>
    </xf>
    <xf numFmtId="0" fontId="27" fillId="0" borderId="0" xfId="0" applyFont="1" applyFill="1" applyBorder="1" applyAlignment="1"/>
    <xf numFmtId="0" fontId="15" fillId="0" borderId="39" xfId="0" applyFont="1" applyFill="1" applyBorder="1" applyAlignment="1">
      <alignment horizontal="center"/>
    </xf>
    <xf numFmtId="10" fontId="3" fillId="11" borderId="3" xfId="2" applyNumberFormat="1" applyFont="1" applyFill="1" applyBorder="1" applyAlignment="1">
      <alignment horizontal="center" vertical="center"/>
    </xf>
    <xf numFmtId="6" fontId="6" fillId="11" borderId="3" xfId="0" applyNumberFormat="1" applyFont="1" applyFill="1" applyBorder="1" applyAlignment="1">
      <alignment horizontal="center"/>
    </xf>
    <xf numFmtId="0" fontId="3" fillId="11" borderId="1" xfId="0" applyNumberFormat="1" applyFont="1" applyFill="1" applyBorder="1" applyAlignment="1">
      <alignment horizontal="left" vertical="center" wrapText="1"/>
    </xf>
    <xf numFmtId="0" fontId="3" fillId="11" borderId="3" xfId="0" applyNumberFormat="1" applyFont="1" applyFill="1" applyBorder="1" applyAlignment="1">
      <alignment horizontal="left" vertical="center" wrapText="1"/>
    </xf>
    <xf numFmtId="169" fontId="3" fillId="8" borderId="0" xfId="0" applyNumberFormat="1" applyFont="1" applyFill="1" applyAlignment="1">
      <alignment horizontal="center"/>
    </xf>
    <xf numFmtId="9" fontId="6" fillId="8" borderId="0" xfId="2" applyFont="1" applyFill="1" applyAlignment="1">
      <alignment horizontal="center"/>
    </xf>
    <xf numFmtId="169" fontId="4" fillId="8" borderId="0" xfId="0" applyNumberFormat="1" applyFont="1" applyFill="1" applyAlignment="1">
      <alignment horizontal="center"/>
    </xf>
    <xf numFmtId="169" fontId="6" fillId="8" borderId="9" xfId="0" applyNumberFormat="1" applyFont="1" applyFill="1" applyBorder="1" applyAlignment="1">
      <alignment horizontal="center"/>
    </xf>
    <xf numFmtId="9" fontId="6" fillId="8" borderId="9" xfId="2" applyFont="1" applyFill="1" applyBorder="1" applyAlignment="1">
      <alignment horizontal="center"/>
    </xf>
    <xf numFmtId="0" fontId="29" fillId="8" borderId="8" xfId="0" applyFont="1" applyFill="1" applyBorder="1" applyAlignment="1">
      <alignment vertical="center" wrapText="1"/>
    </xf>
    <xf numFmtId="0" fontId="85" fillId="8" borderId="25" xfId="0" applyFont="1" applyFill="1" applyBorder="1" applyAlignment="1">
      <alignment horizontal="center" wrapText="1"/>
    </xf>
    <xf numFmtId="0" fontId="45" fillId="8" borderId="25" xfId="0" applyFont="1" applyFill="1" applyBorder="1" applyAlignment="1">
      <alignment horizontal="center" wrapText="1"/>
    </xf>
    <xf numFmtId="0" fontId="45" fillId="12" borderId="25" xfId="0" applyFont="1" applyFill="1" applyBorder="1"/>
    <xf numFmtId="0" fontId="45" fillId="3" borderId="25" xfId="0" applyFont="1" applyFill="1" applyBorder="1"/>
    <xf numFmtId="0" fontId="84" fillId="6" borderId="25" xfId="0" applyFont="1" applyFill="1" applyBorder="1" applyAlignment="1">
      <alignment horizontal="center" wrapText="1"/>
    </xf>
    <xf numFmtId="0" fontId="86" fillId="0" borderId="25" xfId="0" applyFont="1" applyFill="1" applyBorder="1" applyAlignment="1">
      <alignment horizontal="center" vertical="center" wrapText="1"/>
    </xf>
    <xf numFmtId="3" fontId="55" fillId="0" borderId="21" xfId="0" applyNumberFormat="1" applyFont="1" applyBorder="1" applyAlignment="1">
      <alignment horizontal="center"/>
    </xf>
    <xf numFmtId="3" fontId="49" fillId="0" borderId="21" xfId="0" applyNumberFormat="1" applyFont="1" applyBorder="1" applyAlignment="1">
      <alignment horizontal="center"/>
    </xf>
    <xf numFmtId="3" fontId="49" fillId="0" borderId="0" xfId="0" applyNumberFormat="1" applyFont="1" applyBorder="1" applyAlignment="1">
      <alignment horizontal="center"/>
    </xf>
    <xf numFmtId="166" fontId="21" fillId="5" borderId="2" xfId="0" applyNumberFormat="1" applyFont="1" applyFill="1" applyBorder="1" applyAlignment="1">
      <alignment horizontal="center"/>
    </xf>
    <xf numFmtId="164" fontId="72" fillId="0" borderId="11" xfId="2" applyNumberFormat="1" applyFont="1" applyFill="1" applyBorder="1" applyAlignment="1">
      <alignment horizontal="center"/>
    </xf>
    <xf numFmtId="164" fontId="52" fillId="0" borderId="6" xfId="2" applyNumberFormat="1" applyFont="1" applyFill="1" applyBorder="1" applyAlignment="1">
      <alignment horizontal="center" vertical="center" wrapText="1"/>
    </xf>
    <xf numFmtId="164" fontId="51" fillId="0" borderId="21" xfId="2" applyNumberFormat="1" applyFont="1" applyFill="1" applyBorder="1" applyAlignment="1">
      <alignment horizontal="center"/>
    </xf>
    <xf numFmtId="164" fontId="52" fillId="0" borderId="4" xfId="2" applyNumberFormat="1" applyFont="1" applyFill="1" applyBorder="1" applyAlignment="1">
      <alignment horizontal="center" vertical="center" wrapText="1"/>
    </xf>
    <xf numFmtId="0" fontId="6" fillId="0" borderId="30" xfId="0" applyFont="1" applyBorder="1"/>
    <xf numFmtId="0" fontId="4" fillId="2" borderId="29" xfId="0" applyNumberFormat="1" applyFont="1" applyFill="1" applyBorder="1" applyAlignment="1">
      <alignment horizontal="center"/>
    </xf>
    <xf numFmtId="2" fontId="24" fillId="6" borderId="31" xfId="0" applyNumberFormat="1" applyFont="1" applyFill="1" applyBorder="1" applyAlignment="1">
      <alignment horizontal="center"/>
    </xf>
    <xf numFmtId="0" fontId="68" fillId="5" borderId="40" xfId="0" applyFont="1" applyFill="1" applyBorder="1" applyAlignment="1">
      <alignment horizontal="left" indent="1"/>
    </xf>
    <xf numFmtId="0" fontId="69" fillId="5" borderId="41" xfId="0" applyFont="1" applyFill="1" applyBorder="1" applyAlignment="1">
      <alignment horizontal="center"/>
    </xf>
    <xf numFmtId="169" fontId="16" fillId="5" borderId="42" xfId="0" applyNumberFormat="1" applyFont="1" applyFill="1" applyBorder="1" applyAlignment="1">
      <alignment horizontal="right"/>
    </xf>
    <xf numFmtId="0" fontId="68" fillId="5" borderId="43" xfId="0" applyFont="1" applyFill="1" applyBorder="1" applyAlignment="1">
      <alignment horizontal="left" indent="1"/>
    </xf>
    <xf numFmtId="6" fontId="16" fillId="5" borderId="32" xfId="0" applyNumberFormat="1" applyFont="1" applyFill="1" applyBorder="1" applyAlignment="1">
      <alignment horizontal="right"/>
    </xf>
    <xf numFmtId="0" fontId="68" fillId="5" borderId="43" xfId="0" applyNumberFormat="1" applyFont="1" applyFill="1" applyBorder="1" applyAlignment="1">
      <alignment horizontal="left" indent="1"/>
    </xf>
    <xf numFmtId="169" fontId="68" fillId="5" borderId="44" xfId="0" applyNumberFormat="1" applyFont="1" applyFill="1" applyBorder="1" applyAlignment="1">
      <alignment horizontal="right"/>
    </xf>
    <xf numFmtId="0" fontId="73" fillId="5" borderId="45" xfId="3" applyFont="1" applyFill="1" applyBorder="1" applyAlignment="1" applyProtection="1"/>
    <xf numFmtId="0" fontId="69" fillId="5" borderId="35" xfId="0" applyNumberFormat="1" applyFont="1" applyFill="1" applyBorder="1" applyAlignment="1">
      <alignment horizontal="center"/>
    </xf>
    <xf numFmtId="169" fontId="6" fillId="5" borderId="39" xfId="1" applyNumberFormat="1" applyFont="1" applyFill="1" applyBorder="1" applyAlignment="1">
      <alignment horizontal="right"/>
    </xf>
    <xf numFmtId="0" fontId="6" fillId="0" borderId="40" xfId="0" applyFont="1" applyBorder="1"/>
    <xf numFmtId="0" fontId="4" fillId="2" borderId="41" xfId="0" applyNumberFormat="1" applyFont="1" applyFill="1" applyBorder="1" applyAlignment="1">
      <alignment horizontal="center"/>
    </xf>
    <xf numFmtId="169" fontId="6" fillId="0" borderId="42" xfId="1" applyNumberFormat="1" applyFont="1" applyFill="1" applyBorder="1" applyAlignment="1">
      <alignment horizontal="right"/>
    </xf>
    <xf numFmtId="0" fontId="6" fillId="2" borderId="43" xfId="0" applyNumberFormat="1" applyFont="1" applyFill="1" applyBorder="1" applyAlignment="1"/>
    <xf numFmtId="0" fontId="6" fillId="0" borderId="45" xfId="0" applyNumberFormat="1" applyFont="1" applyFill="1" applyBorder="1" applyAlignment="1"/>
    <xf numFmtId="0" fontId="4" fillId="0" borderId="35" xfId="0" applyNumberFormat="1" applyFont="1" applyFill="1" applyBorder="1" applyAlignment="1">
      <alignment horizontal="center"/>
    </xf>
    <xf numFmtId="169" fontId="6" fillId="0" borderId="39" xfId="1" applyNumberFormat="1" applyFont="1" applyBorder="1" applyAlignment="1">
      <alignment horizontal="right"/>
    </xf>
    <xf numFmtId="0" fontId="6" fillId="2" borderId="40" xfId="0" applyNumberFormat="1" applyFont="1" applyFill="1" applyBorder="1" applyAlignment="1"/>
    <xf numFmtId="0" fontId="4" fillId="0" borderId="41" xfId="0" applyFont="1" applyBorder="1" applyAlignment="1">
      <alignment horizontal="center"/>
    </xf>
    <xf numFmtId="171" fontId="24" fillId="2" borderId="42" xfId="0" applyNumberFormat="1" applyFont="1" applyFill="1" applyBorder="1" applyAlignment="1">
      <alignment horizontal="right"/>
    </xf>
    <xf numFmtId="0" fontId="6" fillId="2" borderId="46" xfId="0" applyNumberFormat="1" applyFont="1" applyFill="1" applyBorder="1" applyAlignment="1"/>
    <xf numFmtId="0" fontId="4" fillId="2" borderId="47" xfId="0" applyNumberFormat="1" applyFont="1" applyFill="1" applyBorder="1" applyAlignment="1">
      <alignment horizontal="center"/>
    </xf>
    <xf numFmtId="0" fontId="6" fillId="0" borderId="40" xfId="0" applyFont="1" applyFill="1" applyBorder="1" applyAlignment="1">
      <alignment horizontal="left"/>
    </xf>
    <xf numFmtId="0" fontId="6" fillId="0" borderId="43" xfId="0" applyFont="1" applyFill="1" applyBorder="1"/>
    <xf numFmtId="0" fontId="24" fillId="0" borderId="32" xfId="0" applyFont="1" applyFill="1" applyBorder="1" applyAlignment="1">
      <alignment horizontal="right"/>
    </xf>
    <xf numFmtId="0" fontId="6" fillId="0" borderId="45" xfId="0" applyFont="1" applyFill="1" applyBorder="1" applyAlignment="1">
      <alignment horizontal="left"/>
    </xf>
    <xf numFmtId="0" fontId="4" fillId="2" borderId="35" xfId="0" applyNumberFormat="1" applyFont="1" applyFill="1" applyBorder="1" applyAlignment="1">
      <alignment horizontal="center"/>
    </xf>
    <xf numFmtId="164" fontId="24" fillId="0" borderId="39" xfId="0" applyNumberFormat="1" applyFont="1" applyFill="1" applyBorder="1" applyAlignment="1">
      <alignment horizontal="right"/>
    </xf>
    <xf numFmtId="0" fontId="6" fillId="0" borderId="40" xfId="0" applyFont="1" applyFill="1" applyBorder="1"/>
    <xf numFmtId="169" fontId="6" fillId="0" borderId="32" xfId="0" applyNumberFormat="1" applyFont="1" applyFill="1" applyBorder="1" applyAlignment="1">
      <alignment horizontal="right"/>
    </xf>
    <xf numFmtId="0" fontId="6" fillId="2" borderId="49" xfId="0" applyNumberFormat="1" applyFont="1" applyFill="1" applyBorder="1" applyAlignment="1"/>
    <xf numFmtId="169" fontId="24" fillId="2" borderId="44" xfId="0" applyNumberFormat="1" applyFont="1" applyFill="1" applyBorder="1" applyAlignment="1">
      <alignment horizontal="right"/>
    </xf>
    <xf numFmtId="164" fontId="24" fillId="2" borderId="44" xfId="2" applyNumberFormat="1" applyFont="1" applyFill="1" applyBorder="1" applyAlignment="1">
      <alignment horizontal="right"/>
    </xf>
    <xf numFmtId="0" fontId="6" fillId="0" borderId="45" xfId="0" applyFont="1" applyFill="1" applyBorder="1"/>
    <xf numFmtId="169" fontId="6" fillId="0" borderId="39" xfId="0" applyNumberFormat="1" applyFont="1" applyFill="1" applyBorder="1" applyAlignment="1">
      <alignment horizontal="right"/>
    </xf>
    <xf numFmtId="174" fontId="24" fillId="0" borderId="42" xfId="5" applyNumberFormat="1" applyFont="1" applyFill="1" applyBorder="1" applyAlignment="1">
      <alignment horizontal="right"/>
    </xf>
    <xf numFmtId="164" fontId="24" fillId="0" borderId="32" xfId="2" applyNumberFormat="1" applyFont="1" applyFill="1" applyBorder="1" applyAlignment="1">
      <alignment horizontal="right"/>
    </xf>
    <xf numFmtId="0" fontId="24" fillId="0" borderId="39" xfId="0" applyFont="1" applyFill="1" applyBorder="1" applyAlignment="1">
      <alignment horizontal="right"/>
    </xf>
    <xf numFmtId="0" fontId="24" fillId="0" borderId="42" xfId="0" applyFont="1" applyFill="1" applyBorder="1" applyAlignment="1">
      <alignment horizontal="right"/>
    </xf>
    <xf numFmtId="0" fontId="6" fillId="0" borderId="43" xfId="0" applyFont="1" applyFill="1" applyBorder="1" applyAlignment="1">
      <alignment horizontal="left"/>
    </xf>
    <xf numFmtId="164" fontId="24" fillId="2" borderId="32" xfId="2" applyNumberFormat="1" applyFont="1" applyFill="1" applyBorder="1" applyAlignment="1">
      <alignment horizontal="right"/>
    </xf>
    <xf numFmtId="9" fontId="24" fillId="2" borderId="42" xfId="2" applyNumberFormat="1" applyFont="1" applyFill="1" applyBorder="1" applyAlignment="1">
      <alignment horizontal="right"/>
    </xf>
    <xf numFmtId="10" fontId="24" fillId="2" borderId="48" xfId="2" applyNumberFormat="1" applyFont="1" applyFill="1" applyBorder="1" applyAlignment="1">
      <alignment horizontal="right"/>
    </xf>
    <xf numFmtId="0" fontId="6" fillId="0" borderId="43" xfId="0" applyNumberFormat="1" applyFont="1" applyFill="1" applyBorder="1" applyAlignment="1"/>
    <xf numFmtId="2" fontId="6" fillId="0" borderId="32" xfId="2" applyNumberFormat="1" applyFont="1" applyFill="1" applyBorder="1" applyAlignment="1">
      <alignment horizontal="right"/>
    </xf>
    <xf numFmtId="2" fontId="3" fillId="12" borderId="32" xfId="2" applyNumberFormat="1" applyFont="1" applyFill="1" applyBorder="1" applyAlignment="1">
      <alignment horizontal="right"/>
    </xf>
    <xf numFmtId="2" fontId="24" fillId="0" borderId="32" xfId="2" applyNumberFormat="1" applyFont="1" applyFill="1" applyBorder="1" applyAlignment="1">
      <alignment horizontal="right"/>
    </xf>
    <xf numFmtId="2" fontId="3" fillId="12" borderId="39" xfId="2" applyNumberFormat="1" applyFont="1" applyFill="1" applyBorder="1" applyAlignment="1">
      <alignment horizontal="right"/>
    </xf>
    <xf numFmtId="0" fontId="3" fillId="5" borderId="23" xfId="0" applyNumberFormat="1" applyFont="1" applyFill="1" applyBorder="1" applyAlignment="1"/>
    <xf numFmtId="0" fontId="21" fillId="5" borderId="10" xfId="0" applyNumberFormat="1" applyFont="1" applyFill="1" applyBorder="1" applyAlignment="1">
      <alignment horizontal="center"/>
    </xf>
    <xf numFmtId="166" fontId="21" fillId="5" borderId="24" xfId="0" applyNumberFormat="1" applyFont="1" applyFill="1" applyBorder="1" applyAlignment="1">
      <alignment horizontal="center"/>
    </xf>
    <xf numFmtId="0" fontId="6" fillId="0" borderId="49" xfId="0" applyNumberFormat="1" applyFont="1" applyFill="1" applyBorder="1" applyAlignment="1"/>
    <xf numFmtId="2" fontId="24" fillId="0" borderId="44" xfId="2" applyNumberFormat="1" applyFont="1" applyFill="1" applyBorder="1" applyAlignment="1">
      <alignment horizontal="right"/>
    </xf>
    <xf numFmtId="10" fontId="24" fillId="2" borderId="32" xfId="2" applyNumberFormat="1" applyFont="1" applyFill="1" applyBorder="1" applyAlignment="1">
      <alignment horizontal="right"/>
    </xf>
    <xf numFmtId="0" fontId="6" fillId="2" borderId="45" xfId="0" applyNumberFormat="1" applyFont="1" applyFill="1" applyBorder="1" applyAlignment="1"/>
    <xf numFmtId="164" fontId="24" fillId="2" borderId="39" xfId="2" applyNumberFormat="1" applyFont="1" applyFill="1" applyBorder="1" applyAlignment="1">
      <alignment horizontal="right"/>
    </xf>
    <xf numFmtId="9" fontId="6" fillId="2" borderId="42" xfId="2" applyNumberFormat="1" applyFont="1" applyFill="1" applyBorder="1" applyAlignment="1">
      <alignment horizontal="right"/>
    </xf>
    <xf numFmtId="0" fontId="6" fillId="0" borderId="46" xfId="0" applyFont="1" applyFill="1" applyBorder="1"/>
    <xf numFmtId="10" fontId="6" fillId="2" borderId="42" xfId="2" applyNumberFormat="1" applyFont="1" applyFill="1" applyBorder="1" applyAlignment="1">
      <alignment horizontal="right"/>
    </xf>
    <xf numFmtId="169" fontId="24" fillId="2" borderId="39" xfId="0" applyNumberFormat="1" applyFont="1" applyFill="1" applyBorder="1" applyAlignment="1">
      <alignment horizontal="right"/>
    </xf>
    <xf numFmtId="169" fontId="6" fillId="0" borderId="42" xfId="0" applyNumberFormat="1" applyFont="1" applyFill="1" applyBorder="1" applyAlignment="1">
      <alignment horizontal="right"/>
    </xf>
    <xf numFmtId="0" fontId="6" fillId="2" borderId="50" xfId="0" applyNumberFormat="1" applyFont="1" applyFill="1" applyBorder="1" applyAlignment="1"/>
    <xf numFmtId="0" fontId="3" fillId="0" borderId="46" xfId="0" applyFont="1" applyFill="1" applyBorder="1"/>
    <xf numFmtId="169" fontId="3" fillId="0" borderId="48" xfId="0" applyNumberFormat="1" applyFont="1" applyFill="1" applyBorder="1"/>
    <xf numFmtId="9" fontId="24" fillId="6" borderId="42" xfId="2" applyFont="1" applyFill="1" applyBorder="1" applyAlignment="1">
      <alignment horizontal="center"/>
    </xf>
    <xf numFmtId="164" fontId="24" fillId="0" borderId="44" xfId="2" applyNumberFormat="1" applyFont="1" applyFill="1" applyBorder="1" applyAlignment="1">
      <alignment horizontal="right"/>
    </xf>
    <xf numFmtId="0" fontId="6" fillId="0" borderId="35" xfId="0" applyFont="1" applyFill="1" applyBorder="1"/>
    <xf numFmtId="0" fontId="4" fillId="0" borderId="39" xfId="0" applyFont="1" applyFill="1" applyBorder="1" applyAlignment="1">
      <alignment horizontal="center"/>
    </xf>
    <xf numFmtId="164" fontId="24" fillId="0" borderId="39" xfId="2" applyNumberFormat="1" applyFont="1" applyFill="1" applyBorder="1" applyAlignment="1">
      <alignment horizontal="right"/>
    </xf>
    <xf numFmtId="0" fontId="68" fillId="5" borderId="40" xfId="0" applyFont="1" applyFill="1" applyBorder="1"/>
    <xf numFmtId="0" fontId="68" fillId="5" borderId="41" xfId="0" applyFont="1" applyFill="1" applyBorder="1"/>
    <xf numFmtId="2" fontId="16" fillId="5" borderId="42" xfId="0" applyNumberFormat="1" applyFont="1" applyFill="1" applyBorder="1" applyAlignment="1">
      <alignment horizontal="center"/>
    </xf>
    <xf numFmtId="0" fontId="68" fillId="5" borderId="43" xfId="0" applyFont="1" applyFill="1" applyBorder="1"/>
    <xf numFmtId="2" fontId="16" fillId="5" borderId="44" xfId="0" applyNumberFormat="1" applyFont="1" applyFill="1" applyBorder="1" applyAlignment="1">
      <alignment horizontal="right"/>
    </xf>
    <xf numFmtId="0" fontId="68" fillId="5" borderId="53" xfId="0" applyFont="1" applyFill="1" applyBorder="1"/>
    <xf numFmtId="164" fontId="16" fillId="5" borderId="54" xfId="2" applyNumberFormat="1" applyFont="1" applyFill="1" applyBorder="1" applyAlignment="1">
      <alignment horizontal="right"/>
    </xf>
    <xf numFmtId="0" fontId="74" fillId="5" borderId="55" xfId="3" applyFont="1" applyFill="1" applyBorder="1" applyAlignment="1" applyProtection="1"/>
    <xf numFmtId="0" fontId="6" fillId="5" borderId="37" xfId="0" applyFont="1" applyFill="1" applyBorder="1"/>
    <xf numFmtId="0" fontId="6" fillId="5" borderId="56" xfId="0" applyFont="1" applyFill="1" applyBorder="1"/>
    <xf numFmtId="0" fontId="24" fillId="6" borderId="32" xfId="0" applyFont="1" applyFill="1" applyBorder="1" applyAlignment="1">
      <alignment horizontal="center"/>
    </xf>
    <xf numFmtId="2" fontId="24" fillId="2" borderId="32" xfId="0" applyNumberFormat="1" applyFont="1" applyFill="1" applyBorder="1" applyAlignment="1">
      <alignment horizontal="right"/>
    </xf>
    <xf numFmtId="0" fontId="6" fillId="0" borderId="55" xfId="0" applyFont="1" applyFill="1" applyBorder="1"/>
    <xf numFmtId="0" fontId="3" fillId="0" borderId="40" xfId="0" applyFont="1" applyFill="1" applyBorder="1"/>
    <xf numFmtId="0" fontId="4" fillId="0" borderId="41" xfId="0" applyFont="1" applyFill="1" applyBorder="1" applyAlignment="1">
      <alignment horizontal="center"/>
    </xf>
    <xf numFmtId="6" fontId="24" fillId="0" borderId="42" xfId="0" applyNumberFormat="1" applyFont="1" applyFill="1" applyBorder="1" applyAlignment="1">
      <alignment horizontal="right"/>
    </xf>
    <xf numFmtId="9" fontId="24" fillId="6" borderId="48" xfId="2" applyFont="1" applyFill="1" applyBorder="1" applyAlignment="1">
      <alignment horizontal="center"/>
    </xf>
    <xf numFmtId="0" fontId="6" fillId="0" borderId="49" xfId="0" applyFont="1" applyFill="1" applyBorder="1"/>
    <xf numFmtId="9" fontId="24" fillId="0" borderId="42" xfId="2" applyFont="1" applyFill="1" applyBorder="1" applyAlignment="1">
      <alignment horizontal="right"/>
    </xf>
    <xf numFmtId="0" fontId="4" fillId="0" borderId="35" xfId="0" applyFont="1" applyFill="1" applyBorder="1" applyAlignment="1">
      <alignment horizontal="center"/>
    </xf>
    <xf numFmtId="0" fontId="6" fillId="0" borderId="60" xfId="0" applyFont="1" applyFill="1" applyBorder="1"/>
    <xf numFmtId="0" fontId="6" fillId="0" borderId="61" xfId="0" applyFont="1" applyFill="1" applyBorder="1"/>
    <xf numFmtId="0" fontId="6" fillId="0" borderId="49" xfId="0" applyFont="1" applyFill="1" applyBorder="1" applyAlignment="1">
      <alignment horizontal="left"/>
    </xf>
    <xf numFmtId="1" fontId="24" fillId="0" borderId="44" xfId="0" applyNumberFormat="1" applyFont="1" applyFill="1" applyBorder="1" applyAlignment="1">
      <alignment horizontal="right"/>
    </xf>
    <xf numFmtId="169" fontId="24" fillId="2" borderId="48" xfId="0" applyNumberFormat="1" applyFont="1" applyFill="1" applyBorder="1" applyAlignment="1">
      <alignment horizontal="right"/>
    </xf>
    <xf numFmtId="0" fontId="21" fillId="0" borderId="57" xfId="0" applyFont="1" applyFill="1" applyBorder="1" applyAlignment="1">
      <alignment horizontal="left"/>
    </xf>
    <xf numFmtId="0" fontId="3" fillId="0" borderId="60" xfId="0" applyFont="1" applyFill="1" applyBorder="1" applyAlignment="1">
      <alignment horizontal="center"/>
    </xf>
    <xf numFmtId="0" fontId="3" fillId="0" borderId="61" xfId="0" applyFont="1" applyFill="1" applyBorder="1" applyAlignment="1">
      <alignment horizontal="center"/>
    </xf>
    <xf numFmtId="0" fontId="6" fillId="0" borderId="52" xfId="0" applyFont="1" applyFill="1" applyBorder="1" applyAlignment="1">
      <alignment horizontal="left"/>
    </xf>
    <xf numFmtId="0" fontId="21" fillId="0" borderId="57" xfId="0" applyFont="1" applyFill="1" applyBorder="1"/>
    <xf numFmtId="6" fontId="6" fillId="0" borderId="39" xfId="0" applyNumberFormat="1" applyFont="1" applyFill="1" applyBorder="1" applyAlignment="1">
      <alignment horizontal="right"/>
    </xf>
    <xf numFmtId="0" fontId="6" fillId="0" borderId="61" xfId="0" applyFont="1" applyFill="1" applyBorder="1" applyAlignment="1">
      <alignment horizontal="right"/>
    </xf>
    <xf numFmtId="164" fontId="24" fillId="0" borderId="31" xfId="0" applyNumberFormat="1" applyFont="1" applyFill="1" applyBorder="1" applyAlignment="1">
      <alignment horizontal="right"/>
    </xf>
    <xf numFmtId="0" fontId="21" fillId="0" borderId="1" xfId="0" applyFont="1" applyFill="1" applyBorder="1"/>
    <xf numFmtId="9" fontId="24" fillId="0" borderId="39" xfId="0" applyNumberFormat="1" applyFont="1" applyFill="1" applyBorder="1" applyAlignment="1">
      <alignment horizontal="right"/>
    </xf>
    <xf numFmtId="0" fontId="3" fillId="0" borderId="30" xfId="0" applyFont="1" applyFill="1" applyBorder="1" applyAlignment="1">
      <alignment horizontal="left"/>
    </xf>
    <xf numFmtId="0" fontId="22" fillId="0" borderId="29" xfId="0" applyFont="1" applyFill="1" applyBorder="1" applyAlignment="1">
      <alignment horizontal="center"/>
    </xf>
    <xf numFmtId="0" fontId="22" fillId="0" borderId="31" xfId="0" applyFont="1" applyFill="1" applyBorder="1" applyAlignment="1">
      <alignment horizontal="center"/>
    </xf>
    <xf numFmtId="0" fontId="6" fillId="0" borderId="30" xfId="0" applyFont="1" applyFill="1" applyBorder="1" applyAlignment="1">
      <alignment horizontal="left" indent="1"/>
    </xf>
    <xf numFmtId="164" fontId="24" fillId="0" borderId="29" xfId="2" applyNumberFormat="1" applyFont="1" applyFill="1" applyBorder="1" applyAlignment="1">
      <alignment horizontal="center"/>
    </xf>
    <xf numFmtId="164" fontId="24" fillId="0" borderId="31" xfId="2" applyNumberFormat="1" applyFont="1" applyFill="1" applyBorder="1" applyAlignment="1">
      <alignment horizontal="center"/>
    </xf>
    <xf numFmtId="0" fontId="6" fillId="0" borderId="40" xfId="0" applyFont="1" applyFill="1" applyBorder="1" applyAlignment="1">
      <alignment horizontal="left" indent="1"/>
    </xf>
    <xf numFmtId="164" fontId="24" fillId="0" borderId="41" xfId="2" applyNumberFormat="1" applyFont="1" applyFill="1" applyBorder="1" applyAlignment="1">
      <alignment horizontal="center"/>
    </xf>
    <xf numFmtId="164" fontId="24" fillId="0" borderId="42" xfId="2" applyNumberFormat="1" applyFont="1" applyFill="1" applyBorder="1" applyAlignment="1">
      <alignment horizontal="center"/>
    </xf>
    <xf numFmtId="0" fontId="6" fillId="0" borderId="43" xfId="0" applyFont="1" applyFill="1" applyBorder="1" applyAlignment="1">
      <alignment horizontal="left" indent="1"/>
    </xf>
    <xf numFmtId="164" fontId="24" fillId="0" borderId="32" xfId="2" applyNumberFormat="1" applyFont="1" applyFill="1" applyBorder="1" applyAlignment="1">
      <alignment horizontal="center"/>
    </xf>
    <xf numFmtId="0" fontId="6" fillId="0" borderId="45" xfId="0" applyFont="1" applyFill="1" applyBorder="1" applyAlignment="1">
      <alignment horizontal="left" indent="1"/>
    </xf>
    <xf numFmtId="164" fontId="24" fillId="0" borderId="35" xfId="2" applyNumberFormat="1" applyFont="1" applyFill="1" applyBorder="1" applyAlignment="1">
      <alignment horizontal="center"/>
    </xf>
    <xf numFmtId="164" fontId="24" fillId="0" borderId="39" xfId="2" applyNumberFormat="1" applyFont="1" applyFill="1" applyBorder="1" applyAlignment="1">
      <alignment horizontal="center"/>
    </xf>
    <xf numFmtId="0" fontId="75" fillId="0" borderId="30" xfId="3" applyFont="1" applyFill="1" applyBorder="1" applyAlignment="1" applyProtection="1"/>
    <xf numFmtId="0" fontId="3" fillId="0" borderId="29" xfId="0" applyFont="1" applyFill="1" applyBorder="1"/>
    <xf numFmtId="0" fontId="3" fillId="0" borderId="62" xfId="0" applyFont="1" applyFill="1" applyBorder="1"/>
    <xf numFmtId="0" fontId="3" fillId="0" borderId="31" xfId="0" applyFont="1" applyFill="1" applyBorder="1"/>
    <xf numFmtId="0" fontId="6" fillId="0" borderId="29" xfId="0" applyFont="1" applyBorder="1"/>
    <xf numFmtId="9" fontId="24" fillId="6" borderId="31" xfId="2" applyFont="1" applyFill="1" applyBorder="1" applyAlignment="1">
      <alignment horizontal="center"/>
    </xf>
    <xf numFmtId="164" fontId="24" fillId="0" borderId="42" xfId="2" applyNumberFormat="1" applyFont="1" applyFill="1" applyBorder="1" applyAlignment="1">
      <alignment horizontal="right"/>
    </xf>
    <xf numFmtId="0" fontId="6" fillId="0" borderId="38" xfId="0" applyFont="1" applyFill="1" applyBorder="1"/>
    <xf numFmtId="0" fontId="6" fillId="0" borderId="64" xfId="0" applyFont="1" applyFill="1" applyBorder="1"/>
    <xf numFmtId="0" fontId="4" fillId="2" borderId="21" xfId="0" applyNumberFormat="1" applyFont="1" applyFill="1" applyBorder="1" applyAlignment="1">
      <alignment horizontal="center"/>
    </xf>
    <xf numFmtId="10" fontId="4" fillId="0" borderId="65" xfId="2" applyNumberFormat="1" applyFont="1" applyFill="1" applyBorder="1" applyAlignment="1">
      <alignment horizontal="right"/>
    </xf>
    <xf numFmtId="0" fontId="6" fillId="0" borderId="66" xfId="0" applyFont="1" applyBorder="1"/>
    <xf numFmtId="0" fontId="4" fillId="2" borderId="67" xfId="0" applyNumberFormat="1" applyFont="1" applyFill="1" applyBorder="1" applyAlignment="1">
      <alignment horizontal="center"/>
    </xf>
    <xf numFmtId="2" fontId="24" fillId="6" borderId="68" xfId="0" applyNumberFormat="1" applyFont="1" applyFill="1" applyBorder="1" applyAlignment="1">
      <alignment horizontal="center"/>
    </xf>
    <xf numFmtId="1" fontId="24" fillId="0" borderId="42" xfId="0" applyNumberFormat="1" applyFont="1" applyFill="1" applyBorder="1" applyAlignment="1">
      <alignment horizontal="right"/>
    </xf>
    <xf numFmtId="0" fontId="4" fillId="8" borderId="0" xfId="0" applyNumberFormat="1" applyFont="1" applyFill="1" applyAlignment="1">
      <alignment horizontal="right" indent="1"/>
    </xf>
    <xf numFmtId="0" fontId="9" fillId="8" borderId="0" xfId="0" applyNumberFormat="1" applyFont="1" applyFill="1" applyAlignment="1">
      <alignment horizontal="center"/>
    </xf>
    <xf numFmtId="0" fontId="84" fillId="8" borderId="25" xfId="0" applyFont="1" applyFill="1" applyBorder="1" applyAlignment="1">
      <alignment horizontal="center" vertical="center"/>
    </xf>
    <xf numFmtId="0" fontId="6" fillId="14" borderId="0" xfId="0" applyFont="1" applyFill="1" applyBorder="1"/>
    <xf numFmtId="0" fontId="29" fillId="8" borderId="8" xfId="0" applyFont="1" applyFill="1" applyBorder="1" applyAlignment="1">
      <alignment horizontal="left" vertical="center" wrapText="1"/>
    </xf>
    <xf numFmtId="0" fontId="87" fillId="8" borderId="0" xfId="3" applyFont="1" applyFill="1" applyBorder="1" applyAlignment="1" applyProtection="1"/>
    <xf numFmtId="0" fontId="53" fillId="14" borderId="0" xfId="0" applyFont="1" applyFill="1" applyBorder="1"/>
    <xf numFmtId="0" fontId="17" fillId="14" borderId="0" xfId="3" applyFill="1" applyBorder="1" applyAlignment="1" applyProtection="1"/>
    <xf numFmtId="0" fontId="6" fillId="14" borderId="0" xfId="0" applyNumberFormat="1" applyFont="1" applyFill="1" applyBorder="1" applyAlignment="1"/>
    <xf numFmtId="0" fontId="49" fillId="0" borderId="9" xfId="0" applyFont="1" applyBorder="1" applyAlignment="1">
      <alignment horizontal="center"/>
    </xf>
    <xf numFmtId="0" fontId="3" fillId="0" borderId="23" xfId="0" applyFont="1" applyFill="1" applyBorder="1"/>
    <xf numFmtId="0" fontId="6" fillId="0" borderId="69" xfId="0" applyFont="1" applyFill="1" applyBorder="1"/>
    <xf numFmtId="0" fontId="24" fillId="6" borderId="68" xfId="0" applyFont="1" applyFill="1" applyBorder="1" applyAlignment="1">
      <alignment horizontal="center"/>
    </xf>
    <xf numFmtId="0" fontId="24" fillId="6" borderId="44" xfId="0" applyFont="1" applyFill="1" applyBorder="1" applyAlignment="1">
      <alignment horizontal="center"/>
    </xf>
    <xf numFmtId="6" fontId="6" fillId="0" borderId="39" xfId="0" applyNumberFormat="1" applyFont="1" applyFill="1" applyBorder="1"/>
    <xf numFmtId="9" fontId="4" fillId="2" borderId="4" xfId="2" applyFont="1" applyFill="1" applyBorder="1" applyAlignment="1">
      <alignment horizontal="center"/>
    </xf>
    <xf numFmtId="9" fontId="4" fillId="2" borderId="67" xfId="2" applyFont="1" applyFill="1" applyBorder="1" applyAlignment="1">
      <alignment horizontal="center"/>
    </xf>
    <xf numFmtId="0" fontId="87" fillId="8" borderId="0" xfId="3" applyFont="1" applyFill="1" applyBorder="1" applyAlignment="1" applyProtection="1">
      <alignment vertical="center" wrapText="1"/>
    </xf>
    <xf numFmtId="0" fontId="88" fillId="8" borderId="0" xfId="0" applyFont="1" applyFill="1" applyBorder="1" applyAlignment="1">
      <alignment wrapText="1"/>
    </xf>
    <xf numFmtId="0" fontId="29" fillId="8" borderId="23" xfId="0" applyFont="1" applyFill="1" applyBorder="1" applyAlignment="1">
      <alignment vertical="center" wrapText="1"/>
    </xf>
    <xf numFmtId="0" fontId="45" fillId="8" borderId="10" xfId="0" applyFont="1" applyFill="1" applyBorder="1" applyAlignment="1">
      <alignment vertical="center" wrapText="1"/>
    </xf>
    <xf numFmtId="9" fontId="4" fillId="2" borderId="28" xfId="2" applyFont="1" applyFill="1" applyBorder="1" applyAlignment="1">
      <alignment horizontal="center"/>
    </xf>
    <xf numFmtId="6" fontId="6" fillId="0" borderId="51" xfId="0" applyNumberFormat="1" applyFont="1" applyFill="1" applyBorder="1" applyAlignment="1">
      <alignment horizontal="right"/>
    </xf>
    <xf numFmtId="0" fontId="6" fillId="0" borderId="45" xfId="0" applyFont="1" applyBorder="1"/>
    <xf numFmtId="0" fontId="49" fillId="0" borderId="0" xfId="0" applyFont="1" applyBorder="1" applyAlignment="1">
      <alignment horizontal="center"/>
    </xf>
    <xf numFmtId="40" fontId="4" fillId="0" borderId="0" xfId="0" applyNumberFormat="1" applyFont="1" applyAlignment="1">
      <alignment horizontal="center"/>
    </xf>
    <xf numFmtId="0" fontId="89" fillId="0" borderId="17" xfId="0" applyFont="1" applyBorder="1"/>
    <xf numFmtId="0" fontId="51" fillId="0" borderId="9" xfId="0" applyFont="1" applyBorder="1"/>
    <xf numFmtId="9" fontId="49" fillId="0" borderId="21" xfId="2" applyNumberFormat="1" applyFont="1" applyBorder="1" applyAlignment="1">
      <alignment horizontal="center"/>
    </xf>
    <xf numFmtId="40" fontId="49" fillId="0" borderId="21" xfId="0" applyNumberFormat="1" applyFont="1" applyBorder="1" applyAlignment="1">
      <alignment horizontal="center"/>
    </xf>
    <xf numFmtId="0" fontId="55" fillId="0" borderId="0" xfId="0" applyFont="1" applyFill="1" applyBorder="1" applyAlignment="1">
      <alignment horizontal="center"/>
    </xf>
    <xf numFmtId="0" fontId="44" fillId="0" borderId="17" xfId="0" applyFont="1" applyFill="1" applyBorder="1"/>
    <xf numFmtId="0" fontId="51" fillId="0" borderId="6" xfId="0" applyFont="1" applyFill="1" applyBorder="1" applyAlignment="1">
      <alignment horizontal="center"/>
    </xf>
    <xf numFmtId="0" fontId="55" fillId="0" borderId="6" xfId="0" applyFont="1" applyFill="1" applyBorder="1" applyAlignment="1">
      <alignment horizontal="center"/>
    </xf>
    <xf numFmtId="0" fontId="3" fillId="0" borderId="66" xfId="0" applyFont="1" applyFill="1" applyBorder="1"/>
    <xf numFmtId="6" fontId="24" fillId="0" borderId="32" xfId="0" applyNumberFormat="1" applyFont="1" applyFill="1" applyBorder="1" applyAlignment="1">
      <alignment horizontal="right"/>
    </xf>
    <xf numFmtId="169" fontId="24" fillId="0" borderId="32" xfId="0" applyNumberFormat="1" applyFont="1" applyFill="1" applyBorder="1" applyAlignment="1">
      <alignment horizontal="right"/>
    </xf>
    <xf numFmtId="6" fontId="24" fillId="0" borderId="68" xfId="0" applyNumberFormat="1" applyFont="1" applyFill="1" applyBorder="1" applyAlignment="1">
      <alignment horizontal="right"/>
    </xf>
    <xf numFmtId="3" fontId="55" fillId="0" borderId="21" xfId="0" applyNumberFormat="1" applyFont="1" applyBorder="1" applyAlignment="1" applyProtection="1">
      <alignment horizontal="center"/>
    </xf>
    <xf numFmtId="164" fontId="49" fillId="0" borderId="21" xfId="2" applyNumberFormat="1" applyFont="1" applyBorder="1" applyAlignment="1" applyProtection="1">
      <alignment horizontal="center"/>
    </xf>
    <xf numFmtId="0" fontId="49" fillId="0" borderId="21" xfId="0" applyFont="1" applyBorder="1" applyAlignment="1" applyProtection="1">
      <alignment horizontal="center"/>
    </xf>
    <xf numFmtId="9" fontId="49" fillId="0" borderId="21" xfId="2" applyNumberFormat="1" applyFont="1" applyBorder="1" applyAlignment="1" applyProtection="1">
      <alignment horizontal="center"/>
    </xf>
    <xf numFmtId="169" fontId="49" fillId="0" borderId="21" xfId="0" applyNumberFormat="1" applyFont="1" applyBorder="1" applyAlignment="1" applyProtection="1">
      <alignment horizontal="center"/>
    </xf>
    <xf numFmtId="40" fontId="49" fillId="0" borderId="21" xfId="0" applyNumberFormat="1" applyFont="1" applyBorder="1" applyAlignment="1" applyProtection="1">
      <alignment horizontal="center"/>
    </xf>
    <xf numFmtId="9" fontId="49" fillId="0" borderId="21" xfId="0" applyNumberFormat="1" applyFont="1" applyBorder="1" applyAlignment="1" applyProtection="1">
      <alignment horizontal="center"/>
    </xf>
    <xf numFmtId="10" fontId="49" fillId="0" borderId="21" xfId="0" applyNumberFormat="1" applyFont="1" applyBorder="1" applyAlignment="1" applyProtection="1">
      <alignment horizontal="center"/>
    </xf>
    <xf numFmtId="0" fontId="49" fillId="0" borderId="5" xfId="0" applyFont="1" applyBorder="1" applyAlignment="1" applyProtection="1">
      <alignment horizontal="center"/>
    </xf>
    <xf numFmtId="9" fontId="24" fillId="6" borderId="32" xfId="2" applyFont="1" applyFill="1" applyBorder="1" applyAlignment="1">
      <alignment horizontal="center"/>
    </xf>
    <xf numFmtId="0" fontId="92" fillId="0" borderId="0" xfId="0" applyFont="1" applyBorder="1" applyAlignment="1">
      <alignment horizontal="center" vertical="center"/>
    </xf>
    <xf numFmtId="2" fontId="50" fillId="0" borderId="17" xfId="0" applyNumberFormat="1" applyFont="1" applyFill="1" applyBorder="1" applyAlignment="1">
      <alignment horizontal="center" vertical="center"/>
    </xf>
    <xf numFmtId="2" fontId="50" fillId="0" borderId="6" xfId="0" applyNumberFormat="1" applyFont="1" applyFill="1" applyBorder="1" applyAlignment="1">
      <alignment horizontal="center" vertical="center"/>
    </xf>
    <xf numFmtId="0" fontId="50" fillId="0" borderId="17" xfId="0" applyFont="1" applyBorder="1" applyAlignment="1">
      <alignment horizontal="center" vertical="center"/>
    </xf>
    <xf numFmtId="0" fontId="93" fillId="0" borderId="17" xfId="0" applyFont="1" applyFill="1" applyBorder="1" applyAlignment="1">
      <alignment horizontal="center" vertical="center"/>
    </xf>
    <xf numFmtId="0" fontId="93" fillId="0" borderId="0" xfId="0" applyFont="1" applyAlignment="1">
      <alignment horizontal="center" vertical="center"/>
    </xf>
    <xf numFmtId="0" fontId="50" fillId="0" borderId="12" xfId="0" applyFont="1" applyBorder="1" applyAlignment="1">
      <alignment horizontal="center" vertical="center"/>
    </xf>
    <xf numFmtId="0" fontId="92" fillId="0" borderId="14" xfId="0" applyFont="1" applyBorder="1" applyAlignment="1">
      <alignment horizontal="center" vertical="center"/>
    </xf>
    <xf numFmtId="2" fontId="50" fillId="0" borderId="4" xfId="0" applyNumberFormat="1" applyFont="1" applyFill="1" applyBorder="1" applyAlignment="1">
      <alignment horizontal="center" vertical="center"/>
    </xf>
    <xf numFmtId="0" fontId="93" fillId="0" borderId="0" xfId="0" applyFont="1" applyFill="1" applyBorder="1" applyAlignment="1">
      <alignment horizontal="center" vertical="center"/>
    </xf>
    <xf numFmtId="0" fontId="6" fillId="0" borderId="4" xfId="0" applyFont="1" applyFill="1" applyBorder="1"/>
    <xf numFmtId="3" fontId="6" fillId="0" borderId="4" xfId="0" applyNumberFormat="1" applyFont="1" applyFill="1" applyBorder="1"/>
    <xf numFmtId="169" fontId="6" fillId="0" borderId="0" xfId="0" applyNumberFormat="1" applyFont="1" applyFill="1" applyBorder="1" applyAlignment="1"/>
    <xf numFmtId="0" fontId="42" fillId="2" borderId="4" xfId="0" applyNumberFormat="1" applyFont="1" applyFill="1" applyBorder="1" applyAlignment="1" applyProtection="1">
      <alignment vertical="center"/>
    </xf>
    <xf numFmtId="169" fontId="24" fillId="0" borderId="4" xfId="1" applyNumberFormat="1" applyFont="1" applyBorder="1" applyAlignment="1" applyProtection="1">
      <alignment horizontal="center" vertical="center"/>
    </xf>
    <xf numFmtId="9" fontId="24" fillId="2" borderId="5" xfId="2" applyFont="1" applyFill="1" applyBorder="1" applyAlignment="1" applyProtection="1">
      <alignment horizontal="center" vertical="center"/>
    </xf>
    <xf numFmtId="9" fontId="24" fillId="6" borderId="5" xfId="0" applyNumberFormat="1" applyFont="1" applyFill="1" applyBorder="1" applyAlignment="1" applyProtection="1">
      <alignment horizontal="center"/>
    </xf>
    <xf numFmtId="0" fontId="42" fillId="2" borderId="6" xfId="0" applyNumberFormat="1" applyFont="1" applyFill="1" applyBorder="1" applyAlignment="1" applyProtection="1">
      <alignment vertical="center"/>
    </xf>
    <xf numFmtId="169" fontId="24" fillId="0" borderId="6" xfId="1" applyNumberFormat="1" applyFont="1" applyBorder="1" applyAlignment="1" applyProtection="1">
      <alignment horizontal="center" vertical="center"/>
    </xf>
    <xf numFmtId="0" fontId="51" fillId="0" borderId="17" xfId="0" applyFont="1" applyFill="1" applyBorder="1"/>
    <xf numFmtId="171" fontId="49" fillId="0" borderId="21" xfId="0" applyNumberFormat="1" applyFont="1" applyBorder="1" applyAlignment="1">
      <alignment horizontal="center"/>
    </xf>
    <xf numFmtId="0" fontId="15" fillId="0" borderId="25" xfId="0" applyFont="1" applyFill="1" applyBorder="1" applyAlignment="1">
      <alignment horizontal="center"/>
    </xf>
    <xf numFmtId="3" fontId="6" fillId="0" borderId="4" xfId="0" applyNumberFormat="1" applyFont="1" applyFill="1" applyBorder="1" applyProtection="1"/>
    <xf numFmtId="3" fontId="24" fillId="0" borderId="4" xfId="0" applyNumberFormat="1" applyFont="1" applyFill="1" applyBorder="1"/>
    <xf numFmtId="9" fontId="24" fillId="0" borderId="4" xfId="0" applyNumberFormat="1" applyFont="1" applyFill="1" applyBorder="1"/>
    <xf numFmtId="169" fontId="24" fillId="0" borderId="44" xfId="0" applyNumberFormat="1" applyFont="1" applyFill="1" applyBorder="1" applyAlignment="1">
      <alignment horizontal="right"/>
    </xf>
    <xf numFmtId="3" fontId="24" fillId="0" borderId="44" xfId="0" applyNumberFormat="1" applyFont="1" applyFill="1" applyBorder="1" applyAlignment="1">
      <alignment horizontal="right"/>
    </xf>
    <xf numFmtId="169" fontId="6" fillId="0" borderId="9" xfId="0" applyNumberFormat="1" applyFont="1" applyFill="1" applyBorder="1" applyAlignment="1"/>
    <xf numFmtId="0" fontId="21" fillId="0" borderId="0" xfId="0" applyNumberFormat="1" applyFont="1" applyFill="1" applyAlignment="1">
      <alignment horizontal="center"/>
    </xf>
    <xf numFmtId="169" fontId="3" fillId="0" borderId="0" xfId="0" applyNumberFormat="1" applyFont="1" applyFill="1" applyAlignment="1"/>
    <xf numFmtId="0" fontId="6" fillId="0" borderId="0" xfId="0" applyNumberFormat="1" applyFont="1" applyFill="1" applyAlignment="1">
      <alignment horizontal="center"/>
    </xf>
    <xf numFmtId="0" fontId="6" fillId="0" borderId="5" xfId="0" applyFont="1" applyFill="1" applyBorder="1"/>
    <xf numFmtId="171" fontId="24" fillId="0" borderId="5" xfId="0" applyNumberFormat="1" applyFont="1" applyFill="1" applyBorder="1"/>
    <xf numFmtId="171" fontId="24" fillId="0" borderId="4" xfId="0" applyNumberFormat="1" applyFont="1" applyFill="1" applyBorder="1"/>
    <xf numFmtId="164" fontId="24" fillId="0" borderId="4" xfId="2" applyNumberFormat="1" applyFont="1" applyFill="1" applyBorder="1"/>
    <xf numFmtId="164" fontId="24" fillId="0" borderId="4" xfId="0" applyNumberFormat="1" applyFont="1" applyFill="1" applyBorder="1"/>
    <xf numFmtId="173" fontId="6" fillId="0" borderId="0" xfId="0" applyNumberFormat="1" applyFont="1" applyFill="1" applyAlignment="1">
      <alignment horizontal="center"/>
    </xf>
    <xf numFmtId="0" fontId="3" fillId="4" borderId="24" xfId="0" applyFont="1" applyFill="1" applyBorder="1" applyAlignment="1">
      <alignment horizontal="center"/>
    </xf>
    <xf numFmtId="164" fontId="24" fillId="0" borderId="12" xfId="2" applyNumberFormat="1" applyFont="1" applyFill="1" applyBorder="1" applyAlignment="1">
      <alignment horizontal="center"/>
    </xf>
    <xf numFmtId="164" fontId="24" fillId="0" borderId="36" xfId="2" applyNumberFormat="1" applyFont="1" applyFill="1" applyBorder="1" applyAlignment="1">
      <alignment horizontal="center"/>
    </xf>
    <xf numFmtId="0" fontId="22" fillId="0" borderId="62" xfId="0" applyFont="1" applyFill="1" applyBorder="1" applyAlignment="1">
      <alignment horizontal="center"/>
    </xf>
    <xf numFmtId="164" fontId="24" fillId="0" borderId="62" xfId="2" applyNumberFormat="1" applyFont="1" applyFill="1" applyBorder="1" applyAlignment="1">
      <alignment horizontal="center"/>
    </xf>
    <xf numFmtId="164" fontId="24" fillId="0" borderId="63" xfId="2" applyNumberFormat="1" applyFont="1" applyFill="1" applyBorder="1" applyAlignment="1">
      <alignment horizontal="center"/>
    </xf>
    <xf numFmtId="0" fontId="86" fillId="5" borderId="8" xfId="0" applyFont="1" applyFill="1" applyBorder="1" applyAlignment="1">
      <alignment vertical="center"/>
    </xf>
    <xf numFmtId="0" fontId="86" fillId="5" borderId="0" xfId="0" applyFont="1" applyFill="1" applyBorder="1" applyAlignment="1">
      <alignment vertical="center" wrapText="1"/>
    </xf>
    <xf numFmtId="0" fontId="28" fillId="0" borderId="11" xfId="0" applyFont="1" applyFill="1" applyBorder="1"/>
    <xf numFmtId="0" fontId="28" fillId="0" borderId="0" xfId="0" applyFont="1" applyFill="1" applyBorder="1"/>
    <xf numFmtId="0" fontId="71" fillId="0" borderId="0" xfId="0" applyNumberFormat="1" applyFont="1" applyFill="1" applyBorder="1" applyAlignment="1">
      <alignment horizontal="center"/>
    </xf>
    <xf numFmtId="0" fontId="28" fillId="0" borderId="0" xfId="0" applyNumberFormat="1" applyFont="1" applyFill="1" applyBorder="1" applyAlignment="1"/>
    <xf numFmtId="0" fontId="28" fillId="0" borderId="9" xfId="0" applyFont="1" applyFill="1" applyBorder="1"/>
    <xf numFmtId="9" fontId="9" fillId="0" borderId="0" xfId="2" applyFont="1" applyFill="1" applyBorder="1" applyAlignment="1">
      <alignment horizontal="right"/>
    </xf>
    <xf numFmtId="0" fontId="75" fillId="0" borderId="0" xfId="3" applyFont="1" applyFill="1" applyBorder="1" applyAlignment="1" applyProtection="1"/>
    <xf numFmtId="0" fontId="3" fillId="0" borderId="0" xfId="0" applyFont="1" applyFill="1" applyBorder="1"/>
    <xf numFmtId="9" fontId="24" fillId="0" borderId="4" xfId="2" applyFont="1" applyFill="1" applyBorder="1" applyAlignment="1">
      <alignment horizontal="right"/>
    </xf>
    <xf numFmtId="0" fontId="28" fillId="0" borderId="4" xfId="0" applyNumberFormat="1" applyFont="1" applyFill="1" applyBorder="1" applyAlignment="1"/>
    <xf numFmtId="0" fontId="71" fillId="0" borderId="4" xfId="0" applyNumberFormat="1" applyFont="1" applyFill="1" applyBorder="1" applyAlignment="1">
      <alignment horizontal="center"/>
    </xf>
    <xf numFmtId="9" fontId="9" fillId="0" borderId="4" xfId="2" applyFont="1" applyFill="1" applyBorder="1" applyAlignment="1">
      <alignment horizontal="right"/>
    </xf>
    <xf numFmtId="169" fontId="6" fillId="0" borderId="4" xfId="2" applyNumberFormat="1" applyFont="1" applyFill="1" applyBorder="1" applyAlignment="1">
      <alignment horizontal="right"/>
    </xf>
    <xf numFmtId="0" fontId="6" fillId="0" borderId="52" xfId="0" applyFont="1" applyFill="1" applyBorder="1"/>
    <xf numFmtId="2" fontId="24" fillId="2" borderId="4" xfId="0" applyNumberFormat="1" applyFont="1" applyFill="1" applyBorder="1" applyAlignment="1">
      <alignment horizontal="right"/>
    </xf>
    <xf numFmtId="164" fontId="24" fillId="0" borderId="12" xfId="2" applyNumberFormat="1" applyFont="1" applyFill="1" applyBorder="1" applyAlignment="1">
      <alignment horizontal="center"/>
    </xf>
    <xf numFmtId="164" fontId="24" fillId="0" borderId="13" xfId="2" applyNumberFormat="1" applyFont="1" applyFill="1" applyBorder="1" applyAlignment="1">
      <alignment horizontal="center"/>
    </xf>
    <xf numFmtId="164" fontId="24" fillId="0" borderId="14" xfId="2" applyNumberFormat="1" applyFont="1" applyFill="1" applyBorder="1" applyAlignment="1">
      <alignment horizontal="center"/>
    </xf>
    <xf numFmtId="164" fontId="24" fillId="0" borderId="36" xfId="2" applyNumberFormat="1" applyFont="1" applyFill="1" applyBorder="1" applyAlignment="1">
      <alignment horizontal="center"/>
    </xf>
    <xf numFmtId="164" fontId="24" fillId="0" borderId="37" xfId="2" applyNumberFormat="1" applyFont="1" applyFill="1" applyBorder="1" applyAlignment="1">
      <alignment horizontal="center"/>
    </xf>
    <xf numFmtId="164" fontId="24" fillId="0" borderId="38" xfId="2" applyNumberFormat="1" applyFont="1" applyFill="1" applyBorder="1" applyAlignment="1">
      <alignment horizontal="center"/>
    </xf>
    <xf numFmtId="0" fontId="3" fillId="0" borderId="62" xfId="0" applyFont="1" applyFill="1" applyBorder="1" applyAlignment="1">
      <alignment horizontal="center"/>
    </xf>
    <xf numFmtId="0" fontId="3" fillId="0" borderId="2" xfId="0" applyFont="1" applyFill="1" applyBorder="1" applyAlignment="1">
      <alignment horizontal="center"/>
    </xf>
    <xf numFmtId="0" fontId="3" fillId="0" borderId="59" xfId="0" applyFont="1" applyFill="1" applyBorder="1" applyAlignment="1">
      <alignment horizontal="center"/>
    </xf>
    <xf numFmtId="0" fontId="22" fillId="0" borderId="62" xfId="0" applyFont="1" applyFill="1" applyBorder="1" applyAlignment="1">
      <alignment horizontal="center"/>
    </xf>
    <xf numFmtId="0" fontId="22" fillId="0" borderId="2" xfId="0" applyFont="1" applyFill="1" applyBorder="1" applyAlignment="1">
      <alignment horizontal="center"/>
    </xf>
    <xf numFmtId="0" fontId="22" fillId="0" borderId="59" xfId="0" applyFont="1" applyFill="1" applyBorder="1" applyAlignment="1">
      <alignment horizontal="center"/>
    </xf>
    <xf numFmtId="164" fontId="24" fillId="0" borderId="62" xfId="2" applyNumberFormat="1" applyFont="1" applyFill="1" applyBorder="1" applyAlignment="1">
      <alignment horizontal="center"/>
    </xf>
    <xf numFmtId="164" fontId="24" fillId="0" borderId="2" xfId="2" applyNumberFormat="1" applyFont="1" applyFill="1" applyBorder="1" applyAlignment="1">
      <alignment horizontal="center"/>
    </xf>
    <xf numFmtId="164" fontId="24" fillId="0" borderId="59" xfId="2" applyNumberFormat="1" applyFont="1" applyFill="1" applyBorder="1" applyAlignment="1">
      <alignment horizontal="center"/>
    </xf>
    <xf numFmtId="164" fontId="24" fillId="0" borderId="63" xfId="2" applyNumberFormat="1" applyFont="1" applyFill="1" applyBorder="1" applyAlignment="1">
      <alignment horizontal="center"/>
    </xf>
    <xf numFmtId="164" fontId="24" fillId="0" borderId="60" xfId="2" applyNumberFormat="1" applyFont="1" applyFill="1" applyBorder="1" applyAlignment="1">
      <alignment horizontal="center"/>
    </xf>
    <xf numFmtId="164" fontId="24" fillId="0" borderId="58" xfId="2" applyNumberFormat="1" applyFont="1" applyFill="1" applyBorder="1" applyAlignment="1">
      <alignment horizontal="center"/>
    </xf>
    <xf numFmtId="0" fontId="65" fillId="0" borderId="0" xfId="0" applyFont="1" applyFill="1" applyBorder="1" applyAlignment="1">
      <alignment horizontal="center"/>
    </xf>
    <xf numFmtId="0" fontId="8" fillId="5" borderId="2" xfId="0" applyFont="1" applyFill="1" applyBorder="1" applyAlignment="1">
      <alignment horizontal="center" vertical="center"/>
    </xf>
    <xf numFmtId="0" fontId="8" fillId="5" borderId="10" xfId="0" applyFont="1" applyFill="1" applyBorder="1" applyAlignment="1">
      <alignment horizontal="center" vertical="center"/>
    </xf>
    <xf numFmtId="0" fontId="54" fillId="0" borderId="12" xfId="0" applyFont="1" applyBorder="1" applyAlignment="1">
      <alignment horizontal="center" vertical="center" wrapText="1"/>
    </xf>
    <xf numFmtId="0" fontId="54" fillId="0" borderId="13" xfId="0" applyFont="1" applyBorder="1" applyAlignment="1">
      <alignment horizontal="center" vertical="center" wrapText="1"/>
    </xf>
    <xf numFmtId="0" fontId="54" fillId="0" borderId="14" xfId="0" applyFont="1" applyBorder="1" applyAlignment="1">
      <alignment horizontal="center" vertical="center" wrapText="1"/>
    </xf>
    <xf numFmtId="0" fontId="49" fillId="0" borderId="0" xfId="0" applyFont="1" applyBorder="1" applyAlignment="1">
      <alignment horizontal="center" vertical="center"/>
    </xf>
    <xf numFmtId="0" fontId="49" fillId="0" borderId="0" xfId="0" applyFont="1" applyBorder="1" applyAlignment="1">
      <alignment horizontal="center"/>
    </xf>
    <xf numFmtId="0" fontId="56" fillId="6" borderId="1" xfId="0" applyFont="1" applyFill="1" applyBorder="1" applyAlignment="1">
      <alignment horizontal="center" vertical="center" wrapText="1"/>
    </xf>
    <xf numFmtId="0" fontId="56" fillId="6" borderId="2" xfId="0" applyFont="1" applyFill="1" applyBorder="1" applyAlignment="1">
      <alignment horizontal="center" vertical="center" wrapText="1"/>
    </xf>
    <xf numFmtId="0" fontId="56" fillId="6" borderId="3" xfId="0" applyFont="1" applyFill="1" applyBorder="1" applyAlignment="1">
      <alignment horizontal="center" vertical="center" wrapText="1"/>
    </xf>
    <xf numFmtId="0" fontId="66" fillId="0" borderId="19" xfId="0" applyFont="1" applyBorder="1" applyAlignment="1">
      <alignment horizontal="center" vertical="center" wrapText="1"/>
    </xf>
    <xf numFmtId="0" fontId="66" fillId="0" borderId="15" xfId="0" applyFont="1" applyBorder="1" applyAlignment="1">
      <alignment horizontal="center" vertical="center" wrapText="1"/>
    </xf>
    <xf numFmtId="0" fontId="66" fillId="0" borderId="20" xfId="0" applyFont="1" applyBorder="1" applyAlignment="1">
      <alignment horizontal="center" vertical="center" wrapText="1"/>
    </xf>
    <xf numFmtId="0" fontId="66" fillId="0" borderId="16" xfId="0" applyFont="1" applyBorder="1" applyAlignment="1">
      <alignment horizontal="center" vertical="center" wrapText="1"/>
    </xf>
    <xf numFmtId="0" fontId="66" fillId="0" borderId="12" xfId="0" applyFont="1" applyBorder="1" applyAlignment="1">
      <alignment horizontal="center"/>
    </xf>
    <xf numFmtId="0" fontId="66" fillId="0" borderId="14" xfId="0" applyFont="1" applyBorder="1" applyAlignment="1">
      <alignment horizontal="center"/>
    </xf>
    <xf numFmtId="0" fontId="3" fillId="8" borderId="0" xfId="0" applyNumberFormat="1" applyFont="1" applyFill="1" applyAlignment="1">
      <alignment horizontal="center"/>
    </xf>
    <xf numFmtId="0" fontId="3" fillId="11" borderId="1" xfId="0" applyNumberFormat="1" applyFont="1" applyFill="1" applyBorder="1" applyAlignment="1">
      <alignment horizontal="left" vertical="center" wrapText="1"/>
    </xf>
    <xf numFmtId="0" fontId="3" fillId="11" borderId="3" xfId="0" applyNumberFormat="1" applyFont="1" applyFill="1" applyBorder="1" applyAlignment="1">
      <alignment horizontal="left" vertical="center" wrapText="1"/>
    </xf>
    <xf numFmtId="178" fontId="3" fillId="11" borderId="1" xfId="0" applyNumberFormat="1" applyFont="1" applyFill="1" applyBorder="1" applyAlignment="1">
      <alignment horizontal="left"/>
    </xf>
    <xf numFmtId="178" fontId="3" fillId="11" borderId="3" xfId="0" applyNumberFormat="1" applyFont="1" applyFill="1" applyBorder="1" applyAlignment="1">
      <alignment horizontal="left"/>
    </xf>
    <xf numFmtId="0" fontId="38" fillId="4" borderId="1" xfId="0" applyFont="1" applyFill="1" applyBorder="1" applyAlignment="1">
      <alignment horizontal="center" vertical="center" wrapText="1"/>
    </xf>
    <xf numFmtId="0" fontId="38" fillId="4" borderId="2" xfId="0" applyFont="1" applyFill="1" applyBorder="1" applyAlignment="1">
      <alignment horizontal="center" vertical="center" wrapText="1"/>
    </xf>
    <xf numFmtId="0" fontId="38" fillId="4" borderId="3" xfId="0" applyFont="1" applyFill="1" applyBorder="1" applyAlignment="1">
      <alignment horizontal="center" vertical="center" wrapText="1"/>
    </xf>
    <xf numFmtId="0" fontId="28" fillId="0" borderId="12" xfId="0" applyFont="1" applyBorder="1" applyAlignment="1">
      <alignment horizontal="left" wrapText="1"/>
    </xf>
    <xf numFmtId="0" fontId="28" fillId="0" borderId="14" xfId="0" applyFont="1" applyBorder="1" applyAlignment="1">
      <alignment horizontal="left" wrapText="1"/>
    </xf>
  </cellXfs>
  <cellStyles count="6">
    <cellStyle name="Comma" xfId="5" builtinId="3"/>
    <cellStyle name="Currency" xfId="1" builtinId="4"/>
    <cellStyle name="Hyperlink" xfId="3" builtinId="8"/>
    <cellStyle name="Normal" xfId="0" builtinId="0"/>
    <cellStyle name="Percent" xfId="2" builtinId="5"/>
    <cellStyle name="Percent 2" xfId="4" xr:uid="{00000000-0005-0000-0000-000005000000}"/>
  </cellStyles>
  <dxfs count="14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font>
    </dxf>
    <dxf>
      <fill>
        <patternFill patternType="none">
          <bgColor auto="1"/>
        </patternFill>
      </fill>
    </dxf>
    <dxf>
      <fill>
        <patternFill patternType="none">
          <bgColor auto="1"/>
        </patternFill>
      </fill>
    </dxf>
    <dxf>
      <font>
        <color auto="1"/>
      </font>
      <fill>
        <patternFill>
          <bgColor rgb="FF00B050"/>
        </patternFill>
      </fill>
    </dxf>
    <dxf>
      <font>
        <color auto="1"/>
      </font>
      <fill>
        <patternFill>
          <bgColor rgb="FF00B050"/>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rgb="FFFF0000"/>
        </patternFill>
      </fill>
    </dxf>
    <dxf>
      <fill>
        <patternFill patternType="none">
          <bgColor auto="1"/>
        </patternFill>
      </fill>
    </dxf>
    <dxf>
      <font>
        <color theme="0" tint="-0.14996795556505021"/>
      </font>
      <fill>
        <patternFill>
          <bgColor theme="0" tint="-0.14996795556505021"/>
        </patternFill>
      </fill>
    </dxf>
    <dxf>
      <fill>
        <patternFill patternType="none">
          <bgColor auto="1"/>
        </patternFill>
      </fill>
    </dxf>
    <dxf>
      <font>
        <color rgb="FF0070C0"/>
      </font>
      <fill>
        <patternFill>
          <bgColor theme="0"/>
        </patternFill>
      </fill>
    </dxf>
    <dxf>
      <font>
        <color rgb="FF0070C0"/>
      </font>
      <fill>
        <patternFill>
          <bgColor theme="0"/>
        </patternFill>
      </fill>
    </dxf>
    <dxf>
      <fill>
        <patternFill patternType="none">
          <bgColor auto="1"/>
        </patternFill>
      </fill>
    </dxf>
    <dxf>
      <fill>
        <patternFill>
          <bgColor rgb="FF00B050"/>
        </patternFill>
      </fill>
    </dxf>
    <dxf>
      <fill>
        <patternFill>
          <bgColor rgb="FF00B050"/>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rgb="FFFF0000"/>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rgb="FFFF0000"/>
        </patternFill>
      </fill>
    </dxf>
    <dxf>
      <fill>
        <patternFill patternType="none">
          <bgColor auto="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00B050"/>
        </patternFill>
      </fill>
    </dxf>
    <dxf>
      <fill>
        <patternFill patternType="none">
          <bgColor auto="1"/>
        </patternFill>
      </fill>
    </dxf>
    <dxf>
      <fill>
        <patternFill>
          <bgColor rgb="FFFF0000"/>
        </patternFill>
      </fill>
    </dxf>
    <dxf>
      <fill>
        <patternFill patternType="none">
          <bgColor auto="1"/>
        </patternFill>
      </fill>
    </dxf>
    <dxf>
      <fill>
        <patternFill>
          <bgColor rgb="FF00B050"/>
        </patternFill>
      </fill>
    </dxf>
    <dxf>
      <fill>
        <patternFill>
          <bgColor rgb="FF00B050"/>
        </patternFill>
      </fill>
    </dxf>
    <dxf>
      <fill>
        <patternFill>
          <bgColor rgb="FFFF0000"/>
        </patternFill>
      </fill>
    </dxf>
    <dxf>
      <fill>
        <patternFill>
          <bgColor rgb="FFFF0000"/>
        </patternFill>
      </fill>
    </dxf>
    <dxf>
      <font>
        <color theme="0" tint="-0.14996795556505021"/>
      </font>
      <fill>
        <patternFill>
          <bgColor theme="0" tint="-0.14996795556505021"/>
        </patternFill>
      </fill>
    </dxf>
    <dxf>
      <fill>
        <patternFill>
          <bgColor rgb="FFFF0000"/>
        </patternFill>
      </fill>
    </dxf>
    <dxf>
      <fill>
        <patternFill>
          <bgColor rgb="FFFF0000"/>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theme="4"/>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theme="0" tint="-0.14996795556505021"/>
      </font>
      <fill>
        <patternFill>
          <bgColor theme="0" tint="-0.14996795556505021"/>
        </patternFill>
      </fill>
    </dxf>
    <dxf>
      <font>
        <color theme="3" tint="0.39994506668294322"/>
      </font>
      <fill>
        <patternFill>
          <bgColor rgb="FFFFFF99"/>
        </patternFill>
      </fill>
    </dxf>
    <dxf>
      <font>
        <color auto="1"/>
      </font>
      <fill>
        <patternFill patternType="none">
          <bgColor auto="1"/>
        </patternFill>
      </fill>
    </dxf>
    <dxf>
      <fill>
        <patternFill patternType="none">
          <bgColor auto="1"/>
        </patternFill>
      </fill>
    </dxf>
    <dxf>
      <font>
        <color theme="3" tint="0.39994506668294322"/>
      </font>
      <fill>
        <patternFill patternType="none">
          <bgColor auto="1"/>
        </patternFill>
      </fill>
    </dxf>
    <dxf>
      <font>
        <color theme="3" tint="0.39994506668294322"/>
      </font>
      <fill>
        <patternFill patternType="none">
          <bgColor auto="1"/>
        </patternFill>
      </fill>
    </dxf>
    <dxf>
      <font>
        <color theme="4"/>
      </font>
      <fill>
        <patternFill patternType="none">
          <bgColor auto="1"/>
        </patternFill>
      </fill>
    </dxf>
    <dxf>
      <font>
        <color auto="1"/>
      </font>
      <fill>
        <patternFill patternType="none">
          <bgColor auto="1"/>
        </patternFill>
      </fill>
    </dxf>
    <dxf>
      <font>
        <color auto="1"/>
      </font>
      <fill>
        <patternFill patternType="none">
          <bgColor auto="1"/>
        </patternFill>
      </fill>
    </dxf>
    <dxf>
      <font>
        <color theme="0" tint="-0.14996795556505021"/>
      </font>
      <fill>
        <patternFill>
          <bgColor theme="0" tint="-0.14996795556505021"/>
        </patternFill>
      </fill>
    </dxf>
    <dxf>
      <font>
        <color theme="3" tint="0.39994506668294322"/>
      </font>
      <fill>
        <patternFill patternType="none">
          <bgColor auto="1"/>
        </patternFill>
      </fill>
    </dxf>
    <dxf>
      <font>
        <color theme="3" tint="0.39994506668294322"/>
      </font>
      <fill>
        <patternFill patternType="none">
          <bgColor auto="1"/>
        </patternFill>
      </fill>
    </dxf>
    <dxf>
      <font>
        <color theme="3" tint="0.39994506668294322"/>
      </font>
      <fill>
        <patternFill patternType="none">
          <bgColor auto="1"/>
        </patternFill>
      </fill>
    </dxf>
    <dxf>
      <font>
        <color auto="1"/>
      </font>
      <fill>
        <patternFill patternType="none">
          <bgColor auto="1"/>
        </patternFill>
      </fill>
    </dxf>
    <dxf>
      <font>
        <color theme="3" tint="0.39994506668294322"/>
      </font>
      <fill>
        <patternFill patternType="none">
          <bgColor auto="1"/>
        </patternFill>
      </fill>
    </dxf>
    <dxf>
      <font>
        <b/>
        <i val="0"/>
        <color rgb="FFFFFF00"/>
      </font>
      <fill>
        <patternFill>
          <bgColor rgb="FFFF0000"/>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b/>
        <i val="0"/>
        <color rgb="FFFFFF00"/>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ont>
        <color theme="0" tint="-0.14996795556505021"/>
      </font>
      <fill>
        <patternFill>
          <bgColor theme="0" tint="-0.14996795556505021"/>
        </patternFill>
      </fill>
    </dxf>
    <dxf>
      <fill>
        <patternFill>
          <bgColor rgb="FF00B050"/>
        </patternFill>
      </fill>
    </dxf>
    <dxf>
      <fill>
        <patternFill>
          <bgColor rgb="FF00B050"/>
        </patternFill>
      </fill>
    </dxf>
    <dxf>
      <font>
        <color theme="0" tint="-0.14996795556505021"/>
      </font>
      <fill>
        <patternFill>
          <bgColor theme="0" tint="-0.14996795556505021"/>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00B050"/>
        </patternFill>
      </fill>
    </dxf>
  </dxfs>
  <tableStyles count="0" defaultTableStyle="TableStyleMedium9" defaultPivotStyle="PivotStyleLight16"/>
  <colors>
    <mruColors>
      <color rgb="FFFFFF99"/>
      <color rgb="FF000000"/>
      <color rgb="FF1C1C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1"/>
    </c:title>
    <c:autoTitleDeleted val="0"/>
    <c:plotArea>
      <c:layout/>
      <c:lineChart>
        <c:grouping val="standard"/>
        <c:varyColors val="0"/>
        <c:ser>
          <c:idx val="0"/>
          <c:order val="0"/>
          <c:tx>
            <c:strRef>
              <c:f>'Annual Cash Flows &amp; Returns'!$N$4</c:f>
              <c:strCache>
                <c:ptCount val="1"/>
                <c:pt idx="0">
                  <c:v>Cumulative Cash Flow</c:v>
                </c:pt>
              </c:strCache>
            </c:strRef>
          </c:tx>
          <c:marker>
            <c:symbol val="none"/>
          </c:marker>
          <c:cat>
            <c:numRef>
              <c:f>'Annual Cash Flows &amp; Returns'!$B$6:$B$36</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cat>
          <c:val>
            <c:numRef>
              <c:f>'Annual Cash Flows &amp; Returns'!$N$6:$N$36</c:f>
              <c:numCache>
                <c:formatCode>"$"#,##0_);[Red]\("$"#,##0\)</c:formatCode>
                <c:ptCount val="31"/>
                <c:pt idx="0">
                  <c:v>-1687499.9999999998</c:v>
                </c:pt>
                <c:pt idx="1">
                  <c:v>-1293365.1832499187</c:v>
                </c:pt>
                <c:pt idx="2">
                  <c:v>-731414.18699975498</c:v>
                </c:pt>
                <c:pt idx="3">
                  <c:v>-358404.37204619008</c:v>
                </c:pt>
                <c:pt idx="4">
                  <c:v>-101438.32547403837</c:v>
                </c:pt>
                <c:pt idx="5">
                  <c:v>148929.34994152377</c:v>
                </c:pt>
                <c:pt idx="6">
                  <c:v>310133.13944444462</c:v>
                </c:pt>
                <c:pt idx="7">
                  <c:v>381938.55922819063</c:v>
                </c:pt>
                <c:pt idx="8">
                  <c:v>446364.16922930523</c:v>
                </c:pt>
                <c:pt idx="9">
                  <c:v>503094.28877927811</c:v>
                </c:pt>
                <c:pt idx="10">
                  <c:v>551746.31456215319</c:v>
                </c:pt>
                <c:pt idx="11">
                  <c:v>497970.88647319347</c:v>
                </c:pt>
                <c:pt idx="12">
                  <c:v>433390.65620787855</c:v>
                </c:pt>
                <c:pt idx="13">
                  <c:v>357508.71354209073</c:v>
                </c:pt>
                <c:pt idx="14">
                  <c:v>639407.80116367724</c:v>
                </c:pt>
                <c:pt idx="15">
                  <c:v>791969.71504578227</c:v>
                </c:pt>
                <c:pt idx="16">
                  <c:v>938349.47841131652</c:v>
                </c:pt>
                <c:pt idx="17">
                  <c:v>1078439.5295830735</c:v>
                </c:pt>
                <c:pt idx="18">
                  <c:v>1212799.6782934275</c:v>
                </c:pt>
                <c:pt idx="19">
                  <c:v>1341315.6334700256</c:v>
                </c:pt>
                <c:pt idx="20">
                  <c:v>1676060.8478144356</c:v>
                </c:pt>
                <c:pt idx="21">
                  <c:v>1676060.8478144356</c:v>
                </c:pt>
                <c:pt idx="22">
                  <c:v>1676060.8478144356</c:v>
                </c:pt>
                <c:pt idx="23">
                  <c:v>1676060.8478144356</c:v>
                </c:pt>
                <c:pt idx="24">
                  <c:v>1676060.8478144356</c:v>
                </c:pt>
                <c:pt idx="25">
                  <c:v>1676060.8478144356</c:v>
                </c:pt>
                <c:pt idx="26">
                  <c:v>1676060.8478144356</c:v>
                </c:pt>
                <c:pt idx="27">
                  <c:v>1676060.8478144356</c:v>
                </c:pt>
                <c:pt idx="28">
                  <c:v>1676060.8478144356</c:v>
                </c:pt>
                <c:pt idx="29">
                  <c:v>1676060.8478144356</c:v>
                </c:pt>
                <c:pt idx="30">
                  <c:v>1676060.8478144356</c:v>
                </c:pt>
              </c:numCache>
            </c:numRef>
          </c:val>
          <c:smooth val="0"/>
          <c:extLst>
            <c:ext xmlns:c16="http://schemas.microsoft.com/office/drawing/2014/chart" uri="{C3380CC4-5D6E-409C-BE32-E72D297353CC}">
              <c16:uniqueId val="{00000000-3164-3640-9DE8-8C7B4912794F}"/>
            </c:ext>
          </c:extLst>
        </c:ser>
        <c:dLbls>
          <c:showLegendKey val="0"/>
          <c:showVal val="0"/>
          <c:showCatName val="0"/>
          <c:showSerName val="0"/>
          <c:showPercent val="0"/>
          <c:showBubbleSize val="0"/>
        </c:dLbls>
        <c:smooth val="0"/>
        <c:axId val="140104832"/>
        <c:axId val="140757248"/>
      </c:lineChart>
      <c:catAx>
        <c:axId val="140104832"/>
        <c:scaling>
          <c:orientation val="minMax"/>
        </c:scaling>
        <c:delete val="0"/>
        <c:axPos val="b"/>
        <c:title>
          <c:tx>
            <c:rich>
              <a:bodyPr/>
              <a:lstStyle/>
              <a:p>
                <a:pPr>
                  <a:defRPr sz="1100"/>
                </a:pPr>
                <a:r>
                  <a:rPr lang="en-US" sz="1100"/>
                  <a:t>Project Year</a:t>
                </a:r>
              </a:p>
            </c:rich>
          </c:tx>
          <c:overlay val="0"/>
        </c:title>
        <c:numFmt formatCode="General" sourceLinked="1"/>
        <c:majorTickMark val="out"/>
        <c:minorTickMark val="none"/>
        <c:tickLblPos val="nextTo"/>
        <c:crossAx val="140757248"/>
        <c:crosses val="autoZero"/>
        <c:auto val="1"/>
        <c:lblAlgn val="ctr"/>
        <c:lblOffset val="100"/>
        <c:tickLblSkip val="5"/>
        <c:noMultiLvlLbl val="0"/>
      </c:catAx>
      <c:valAx>
        <c:axId val="140757248"/>
        <c:scaling>
          <c:orientation val="minMax"/>
        </c:scaling>
        <c:delete val="0"/>
        <c:axPos val="l"/>
        <c:title>
          <c:tx>
            <c:rich>
              <a:bodyPr rot="-5400000" vert="horz"/>
              <a:lstStyle/>
              <a:p>
                <a:pPr>
                  <a:defRPr sz="1100" b="1"/>
                </a:pPr>
                <a:r>
                  <a:rPr lang="en-US" sz="1100" b="1"/>
                  <a:t>Cumulative Cash Flow ($)</a:t>
                </a:r>
              </a:p>
            </c:rich>
          </c:tx>
          <c:overlay val="0"/>
        </c:title>
        <c:numFmt formatCode="&quot;$&quot;#,##0_);[Red]\(&quot;$&quot;#,##0\)" sourceLinked="1"/>
        <c:majorTickMark val="out"/>
        <c:minorTickMark val="none"/>
        <c:tickLblPos val="nextTo"/>
        <c:crossAx val="140104832"/>
        <c:crosses val="autoZero"/>
        <c:crossBetween val="between"/>
      </c:valAx>
      <c:spPr>
        <a:solidFill>
          <a:srgbClr val="FFFF99"/>
        </a:solidFill>
      </c:spPr>
    </c:plotArea>
    <c:plotVisOnly val="1"/>
    <c:dispBlanksAs val="gap"/>
    <c:showDLblsOverMax val="0"/>
  </c:chart>
  <c:spPr>
    <a:solidFill>
      <a:srgbClr val="FFFF99"/>
    </a:solidFill>
  </c:spPr>
  <c:printSettings>
    <c:headerFooter/>
    <c:pageMargins b="0.7500000000000121" l="0.70000000000000062" r="0.70000000000000062" t="0.7500000000000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Revenue + Tax Benefits / (Liability) v. </a:t>
            </a:r>
          </a:p>
          <a:p>
            <a:pPr>
              <a:defRPr/>
            </a:pPr>
            <a:r>
              <a:rPr lang="en-US"/>
              <a:t>Expenses + Cash Obligations</a:t>
            </a:r>
          </a:p>
        </c:rich>
      </c:tx>
      <c:overlay val="1"/>
    </c:title>
    <c:autoTitleDeleted val="0"/>
    <c:plotArea>
      <c:layout/>
      <c:areaChart>
        <c:grouping val="standard"/>
        <c:varyColors val="0"/>
        <c:ser>
          <c:idx val="1"/>
          <c:order val="1"/>
          <c:tx>
            <c:strRef>
              <c:f>'Annual Cash Flows &amp; Returns'!$S$4</c:f>
              <c:strCache>
                <c:ptCount val="1"/>
                <c:pt idx="0">
                  <c:v>Expenses + Cash Obligations</c:v>
                </c:pt>
              </c:strCache>
            </c:strRef>
          </c:tx>
          <c:cat>
            <c:numRef>
              <c:f>'Annual Cash Flows &amp; Returns'!$B$6:$B$36</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cat>
          <c:val>
            <c:numRef>
              <c:f>'Annual Cash Flows &amp; Returns'!$S$6:$S$36</c:f>
              <c:numCache>
                <c:formatCode>"$"#,##0_);[Red]\("$"#,##0\)</c:formatCode>
                <c:ptCount val="31"/>
                <c:pt idx="1">
                  <c:v>597667.87428103061</c:v>
                </c:pt>
                <c:pt idx="2">
                  <c:v>604685.63428103062</c:v>
                </c:pt>
                <c:pt idx="3">
                  <c:v>611843.74948103074</c:v>
                </c:pt>
                <c:pt idx="4">
                  <c:v>619145.02698503062</c:v>
                </c:pt>
                <c:pt idx="5">
                  <c:v>626592.33003911073</c:v>
                </c:pt>
                <c:pt idx="6">
                  <c:v>634188.57915427221</c:v>
                </c:pt>
                <c:pt idx="7">
                  <c:v>641936.7532517371</c:v>
                </c:pt>
                <c:pt idx="8">
                  <c:v>649839.89083115128</c:v>
                </c:pt>
                <c:pt idx="9">
                  <c:v>657901.09116215352</c:v>
                </c:pt>
                <c:pt idx="10">
                  <c:v>666123.51549977611</c:v>
                </c:pt>
                <c:pt idx="11">
                  <c:v>674510.38832415105</c:v>
                </c:pt>
                <c:pt idx="12">
                  <c:v>683064.99860501348</c:v>
                </c:pt>
                <c:pt idx="13">
                  <c:v>691790.70109149301</c:v>
                </c:pt>
                <c:pt idx="14">
                  <c:v>330521.10620615631</c:v>
                </c:pt>
                <c:pt idx="15">
                  <c:v>462989.26421360514</c:v>
                </c:pt>
                <c:pt idx="16">
                  <c:v>472249.04949787725</c:v>
                </c:pt>
                <c:pt idx="17">
                  <c:v>481694.03048783483</c:v>
                </c:pt>
                <c:pt idx="18">
                  <c:v>491327.91109759163</c:v>
                </c:pt>
                <c:pt idx="19">
                  <c:v>501154.46931954345</c:v>
                </c:pt>
                <c:pt idx="20">
                  <c:v>298036.17135586828</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0-1B8B-DC4F-B5A6-D05AEED76D53}"/>
            </c:ext>
          </c:extLst>
        </c:ser>
        <c:dLbls>
          <c:showLegendKey val="0"/>
          <c:showVal val="0"/>
          <c:showCatName val="0"/>
          <c:showSerName val="0"/>
          <c:showPercent val="0"/>
          <c:showBubbleSize val="0"/>
        </c:dLbls>
        <c:axId val="107671936"/>
        <c:axId val="107673856"/>
      </c:areaChart>
      <c:lineChart>
        <c:grouping val="standard"/>
        <c:varyColors val="0"/>
        <c:ser>
          <c:idx val="0"/>
          <c:order val="0"/>
          <c:tx>
            <c:strRef>
              <c:f>'Annual Cash Flows &amp; Returns'!$R$4</c:f>
              <c:strCache>
                <c:ptCount val="1"/>
                <c:pt idx="0">
                  <c:v>Revenue + Tax Benefit/(Liability)</c:v>
                </c:pt>
              </c:strCache>
            </c:strRef>
          </c:tx>
          <c:marker>
            <c:symbol val="none"/>
          </c:marker>
          <c:cat>
            <c:numRef>
              <c:f>'Annual Cash Flows &amp; Returns'!$B$6:$B$36</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cat>
          <c:val>
            <c:numRef>
              <c:f>'Annual Cash Flows &amp; Returns'!$R$6:$R$36</c:f>
              <c:numCache>
                <c:formatCode>"$"#,##0_);[Red]\("$"#,##0\)</c:formatCode>
                <c:ptCount val="31"/>
                <c:pt idx="1">
                  <c:v>991802.69103111164</c:v>
                </c:pt>
                <c:pt idx="2">
                  <c:v>1166636.6305311944</c:v>
                </c:pt>
                <c:pt idx="3">
                  <c:v>984853.56443459552</c:v>
                </c:pt>
                <c:pt idx="4">
                  <c:v>876111.07355718245</c:v>
                </c:pt>
                <c:pt idx="5">
                  <c:v>876960.00545467285</c:v>
                </c:pt>
                <c:pt idx="6">
                  <c:v>795392.36865719303</c:v>
                </c:pt>
                <c:pt idx="7">
                  <c:v>713742.17303548311</c:v>
                </c:pt>
                <c:pt idx="8">
                  <c:v>714265.50083226583</c:v>
                </c:pt>
                <c:pt idx="9">
                  <c:v>714631.21071212646</c:v>
                </c:pt>
                <c:pt idx="10">
                  <c:v>714775.54128265113</c:v>
                </c:pt>
                <c:pt idx="11">
                  <c:v>620734.96023519128</c:v>
                </c:pt>
                <c:pt idx="12">
                  <c:v>618484.76833969855</c:v>
                </c:pt>
                <c:pt idx="13">
                  <c:v>615908.75842570525</c:v>
                </c:pt>
                <c:pt idx="14">
                  <c:v>612420.19382774283</c:v>
                </c:pt>
                <c:pt idx="15">
                  <c:v>615551.17809571011</c:v>
                </c:pt>
                <c:pt idx="16">
                  <c:v>618628.8128634115</c:v>
                </c:pt>
                <c:pt idx="17">
                  <c:v>621784.08165959176</c:v>
                </c:pt>
                <c:pt idx="18">
                  <c:v>625688.05980794574</c:v>
                </c:pt>
                <c:pt idx="19">
                  <c:v>629670.42449614173</c:v>
                </c:pt>
                <c:pt idx="20">
                  <c:v>632781.3857002781</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1-1B8B-DC4F-B5A6-D05AEED76D53}"/>
            </c:ext>
          </c:extLst>
        </c:ser>
        <c:dLbls>
          <c:showLegendKey val="0"/>
          <c:showVal val="0"/>
          <c:showCatName val="0"/>
          <c:showSerName val="0"/>
          <c:showPercent val="0"/>
          <c:showBubbleSize val="0"/>
        </c:dLbls>
        <c:marker val="1"/>
        <c:smooth val="0"/>
        <c:axId val="107671936"/>
        <c:axId val="107673856"/>
      </c:lineChart>
      <c:catAx>
        <c:axId val="107671936"/>
        <c:scaling>
          <c:orientation val="minMax"/>
        </c:scaling>
        <c:delete val="0"/>
        <c:axPos val="b"/>
        <c:title>
          <c:tx>
            <c:rich>
              <a:bodyPr/>
              <a:lstStyle/>
              <a:p>
                <a:pPr>
                  <a:defRPr sz="1100"/>
                </a:pPr>
                <a:r>
                  <a:rPr lang="en-US" sz="1100"/>
                  <a:t>Project Year</a:t>
                </a:r>
              </a:p>
            </c:rich>
          </c:tx>
          <c:overlay val="0"/>
        </c:title>
        <c:numFmt formatCode="General" sourceLinked="1"/>
        <c:majorTickMark val="out"/>
        <c:minorTickMark val="none"/>
        <c:tickLblPos val="nextTo"/>
        <c:crossAx val="107673856"/>
        <c:crosses val="autoZero"/>
        <c:auto val="1"/>
        <c:lblAlgn val="ctr"/>
        <c:lblOffset val="100"/>
        <c:tickLblSkip val="5"/>
        <c:noMultiLvlLbl val="0"/>
      </c:catAx>
      <c:valAx>
        <c:axId val="107673856"/>
        <c:scaling>
          <c:orientation val="minMax"/>
        </c:scaling>
        <c:delete val="0"/>
        <c:axPos val="l"/>
        <c:title>
          <c:tx>
            <c:rich>
              <a:bodyPr rot="-5400000" vert="horz"/>
              <a:lstStyle/>
              <a:p>
                <a:pPr>
                  <a:defRPr sz="1100" b="1"/>
                </a:pPr>
                <a:r>
                  <a:rPr lang="en-US" sz="1100" b="1"/>
                  <a:t>( $)</a:t>
                </a:r>
              </a:p>
            </c:rich>
          </c:tx>
          <c:overlay val="0"/>
        </c:title>
        <c:numFmt formatCode="&quot;$&quot;#,##0" sourceLinked="0"/>
        <c:majorTickMark val="out"/>
        <c:minorTickMark val="none"/>
        <c:tickLblPos val="nextTo"/>
        <c:crossAx val="107671936"/>
        <c:crosses val="autoZero"/>
        <c:crossBetween val="between"/>
      </c:valAx>
      <c:spPr>
        <a:solidFill>
          <a:srgbClr val="FFFF99"/>
        </a:solidFill>
      </c:spPr>
    </c:plotArea>
    <c:legend>
      <c:legendPos val="r"/>
      <c:overlay val="1"/>
    </c:legend>
    <c:plotVisOnly val="1"/>
    <c:dispBlanksAs val="gap"/>
    <c:showDLblsOverMax val="0"/>
  </c:chart>
  <c:spPr>
    <a:solidFill>
      <a:srgbClr val="FFFF99"/>
    </a:solidFill>
  </c:spPr>
  <c:printSettings>
    <c:headerFooter/>
    <c:pageMargins b="0.75000000000001232" l="0.70000000000000062" r="0.70000000000000062" t="0.75000000000001232"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83341</xdr:colOff>
      <xdr:row>37</xdr:row>
      <xdr:rowOff>130969</xdr:rowOff>
    </xdr:from>
    <xdr:to>
      <xdr:col>8</xdr:col>
      <xdr:colOff>452437</xdr:colOff>
      <xdr:row>61</xdr:row>
      <xdr:rowOff>35719</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535780</xdr:colOff>
      <xdr:row>37</xdr:row>
      <xdr:rowOff>154781</xdr:rowOff>
    </xdr:from>
    <xdr:to>
      <xdr:col>16</xdr:col>
      <xdr:colOff>23813</xdr:colOff>
      <xdr:row>61</xdr:row>
      <xdr:rowOff>71437</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dsireusa.org/incentives/index.cfm?state=us&amp;re=1&amp;EE=1" TargetMode="External"/><Relationship Id="rId7" Type="http://schemas.openxmlformats.org/officeDocument/2006/relationships/vmlDrawing" Target="../drawings/vmlDrawing1.vml"/><Relationship Id="rId2" Type="http://schemas.openxmlformats.org/officeDocument/2006/relationships/hyperlink" Target="http://dsireusa.org/incentives/incentive.cfm?Incentive_Code=US02F&amp;re=1&amp;ee=1" TargetMode="External"/><Relationship Id="rId1" Type="http://schemas.openxmlformats.org/officeDocument/2006/relationships/hyperlink" Target="http://dsireusa.org/" TargetMode="External"/><Relationship Id="rId6" Type="http://schemas.openxmlformats.org/officeDocument/2006/relationships/printerSettings" Target="../printerSettings/printerSettings1.bin"/><Relationship Id="rId5" Type="http://schemas.openxmlformats.org/officeDocument/2006/relationships/hyperlink" Target="http://financere.nrel.gov/finance/content/crest-model" TargetMode="External"/><Relationship Id="rId4" Type="http://schemas.openxmlformats.org/officeDocument/2006/relationships/hyperlink" Target="http://financere.nrel.gov/finance/content/crest-model"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R43"/>
  <sheetViews>
    <sheetView showGridLines="0" zoomScale="90" zoomScaleNormal="90" workbookViewId="0">
      <pane ySplit="4" topLeftCell="A5" activePane="bottomLeft" state="frozen"/>
      <selection pane="bottomLeft" activeCell="C4" sqref="C4"/>
    </sheetView>
  </sheetViews>
  <sheetFormatPr baseColWidth="10" defaultColWidth="9.1640625" defaultRowHeight="16"/>
  <cols>
    <col min="1" max="1" width="2.6640625" style="156" customWidth="1"/>
    <col min="2" max="2" width="26.6640625" style="156" customWidth="1"/>
    <col min="3" max="3" width="140.1640625" style="156" customWidth="1"/>
    <col min="4" max="4" width="16.83203125" style="156" customWidth="1"/>
    <col min="5" max="12" width="9.1640625" style="156"/>
    <col min="13" max="14" width="9.5" style="156" customWidth="1"/>
    <col min="15" max="15" width="5.33203125" style="156" customWidth="1"/>
    <col min="16" max="16384" width="9.1640625" style="156"/>
  </cols>
  <sheetData>
    <row r="1" spans="2:18" ht="9" customHeight="1" thickBot="1"/>
    <row r="2" spans="2:18" ht="30" customHeight="1">
      <c r="B2" s="224" t="s">
        <v>178</v>
      </c>
      <c r="C2" s="225" t="s">
        <v>328</v>
      </c>
      <c r="D2" s="226"/>
      <c r="E2" s="151"/>
      <c r="F2" s="151"/>
      <c r="G2" s="151"/>
      <c r="H2" s="151"/>
      <c r="I2" s="151"/>
      <c r="J2" s="151"/>
      <c r="K2" s="151"/>
      <c r="L2" s="151"/>
      <c r="M2" s="151"/>
      <c r="N2" s="151"/>
      <c r="P2" s="149"/>
      <c r="Q2" s="150"/>
      <c r="R2" s="150"/>
    </row>
    <row r="3" spans="2:18" ht="30" customHeight="1">
      <c r="B3" s="311" t="s">
        <v>196</v>
      </c>
      <c r="C3" s="312" t="s">
        <v>484</v>
      </c>
      <c r="D3" s="313"/>
      <c r="E3" s="151"/>
      <c r="F3" s="151"/>
      <c r="G3" s="151"/>
      <c r="H3" s="151"/>
      <c r="I3" s="151"/>
      <c r="J3" s="151"/>
      <c r="K3" s="151"/>
      <c r="L3" s="151"/>
      <c r="M3" s="151"/>
      <c r="N3" s="151"/>
      <c r="P3" s="149"/>
      <c r="Q3" s="150"/>
      <c r="R3" s="150"/>
    </row>
    <row r="4" spans="2:18" ht="60" customHeight="1" thickBot="1">
      <c r="B4" s="760" t="s">
        <v>485</v>
      </c>
      <c r="C4" s="761" t="s">
        <v>486</v>
      </c>
      <c r="D4" s="313"/>
      <c r="E4" s="151"/>
      <c r="F4" s="151"/>
      <c r="G4" s="151"/>
      <c r="H4" s="151"/>
      <c r="I4" s="151"/>
      <c r="J4" s="151"/>
      <c r="K4" s="151"/>
      <c r="L4" s="151"/>
      <c r="M4" s="151"/>
      <c r="N4" s="151"/>
      <c r="P4" s="149"/>
      <c r="Q4" s="150"/>
      <c r="R4" s="150"/>
    </row>
    <row r="5" spans="2:18" ht="30" customHeight="1">
      <c r="B5" s="688" t="s">
        <v>394</v>
      </c>
      <c r="C5" s="689" t="s">
        <v>395</v>
      </c>
      <c r="D5" s="228"/>
      <c r="E5" s="151"/>
      <c r="F5" s="151"/>
      <c r="G5" s="151"/>
      <c r="H5" s="151"/>
      <c r="I5" s="151"/>
      <c r="J5" s="151"/>
      <c r="K5" s="151"/>
      <c r="L5" s="151"/>
      <c r="M5" s="151"/>
      <c r="N5" s="151"/>
      <c r="P5" s="150"/>
      <c r="Q5" s="150"/>
      <c r="R5" s="150"/>
    </row>
    <row r="6" spans="2:18" ht="60" customHeight="1">
      <c r="B6" s="518" t="s">
        <v>396</v>
      </c>
      <c r="C6" s="232" t="s">
        <v>397</v>
      </c>
      <c r="D6" s="228"/>
      <c r="E6" s="151"/>
      <c r="F6" s="151"/>
      <c r="G6" s="151"/>
      <c r="H6" s="151"/>
      <c r="I6" s="151"/>
      <c r="J6" s="151"/>
      <c r="K6" s="151"/>
      <c r="L6" s="151"/>
      <c r="M6" s="151"/>
      <c r="N6" s="151"/>
      <c r="P6" s="150"/>
      <c r="Q6" s="150"/>
      <c r="R6" s="150"/>
    </row>
    <row r="7" spans="2:18" ht="60" customHeight="1">
      <c r="B7" s="518" t="s">
        <v>398</v>
      </c>
      <c r="C7" s="232" t="s">
        <v>399</v>
      </c>
      <c r="D7" s="228"/>
      <c r="E7" s="151"/>
      <c r="F7" s="151"/>
      <c r="G7" s="151"/>
      <c r="H7" s="151"/>
      <c r="I7" s="151"/>
      <c r="J7" s="151"/>
      <c r="K7" s="151"/>
      <c r="L7" s="151"/>
      <c r="M7" s="151"/>
      <c r="N7" s="151"/>
      <c r="P7" s="150"/>
      <c r="Q7" s="150"/>
      <c r="R7" s="150"/>
    </row>
    <row r="8" spans="2:18">
      <c r="B8" s="227"/>
      <c r="C8" s="229"/>
      <c r="D8" s="230"/>
      <c r="E8" s="152"/>
      <c r="F8" s="152"/>
      <c r="G8" s="152"/>
      <c r="H8" s="152"/>
      <c r="I8" s="152"/>
      <c r="J8" s="152"/>
      <c r="K8" s="152"/>
      <c r="L8" s="152"/>
      <c r="M8" s="152"/>
      <c r="N8" s="152"/>
      <c r="P8" s="150"/>
      <c r="Q8" s="150"/>
      <c r="R8" s="150"/>
    </row>
    <row r="9" spans="2:18" ht="102">
      <c r="B9" s="231" t="s">
        <v>179</v>
      </c>
      <c r="C9" s="232" t="s">
        <v>392</v>
      </c>
      <c r="D9" s="233"/>
      <c r="E9" s="153"/>
      <c r="F9" s="153"/>
      <c r="G9" s="153"/>
      <c r="H9" s="153"/>
      <c r="I9" s="153"/>
      <c r="J9" s="153"/>
      <c r="K9" s="153"/>
      <c r="L9" s="153"/>
      <c r="M9" s="153"/>
      <c r="N9" s="153"/>
      <c r="P9" s="149"/>
      <c r="Q9" s="150"/>
      <c r="R9" s="150"/>
    </row>
    <row r="10" spans="2:18" ht="17">
      <c r="B10" s="231"/>
      <c r="C10" s="686" t="s">
        <v>380</v>
      </c>
      <c r="D10" s="233"/>
      <c r="E10" s="153"/>
      <c r="F10" s="153"/>
      <c r="G10" s="153"/>
      <c r="H10" s="153"/>
      <c r="I10" s="153"/>
      <c r="J10" s="153"/>
      <c r="K10" s="153"/>
      <c r="L10" s="153"/>
      <c r="M10" s="153"/>
      <c r="N10" s="153"/>
      <c r="P10" s="149"/>
      <c r="Q10" s="150"/>
      <c r="R10" s="150"/>
    </row>
    <row r="11" spans="2:18">
      <c r="B11" s="231"/>
      <c r="C11" s="232"/>
      <c r="D11" s="233"/>
      <c r="E11" s="153"/>
      <c r="F11" s="153"/>
      <c r="G11" s="153"/>
      <c r="H11" s="153"/>
      <c r="I11" s="153"/>
      <c r="J11" s="153"/>
      <c r="K11" s="153"/>
      <c r="L11" s="153"/>
      <c r="M11" s="153"/>
      <c r="N11" s="153"/>
      <c r="P11" s="149"/>
      <c r="Q11" s="150"/>
      <c r="R11" s="150"/>
    </row>
    <row r="12" spans="2:18" ht="64.5" customHeight="1">
      <c r="B12" s="237" t="s">
        <v>342</v>
      </c>
      <c r="C12" s="232" t="s">
        <v>382</v>
      </c>
      <c r="D12" s="233"/>
      <c r="E12" s="153"/>
      <c r="F12" s="153"/>
      <c r="G12" s="153"/>
      <c r="H12" s="153"/>
      <c r="I12" s="153"/>
      <c r="J12" s="153"/>
      <c r="K12" s="153"/>
      <c r="L12" s="153"/>
      <c r="M12" s="153"/>
      <c r="N12" s="153"/>
      <c r="P12" s="149"/>
      <c r="Q12" s="150"/>
      <c r="R12" s="150"/>
    </row>
    <row r="13" spans="2:18" ht="17">
      <c r="B13" s="237"/>
      <c r="C13" s="686" t="s">
        <v>380</v>
      </c>
      <c r="D13" s="233"/>
      <c r="E13" s="153"/>
      <c r="F13" s="153"/>
      <c r="G13" s="153"/>
      <c r="H13" s="153"/>
      <c r="I13" s="153"/>
      <c r="J13" s="153"/>
      <c r="K13" s="153"/>
      <c r="L13" s="153"/>
      <c r="M13" s="153"/>
      <c r="N13" s="153"/>
      <c r="P13" s="149"/>
      <c r="Q13" s="150"/>
      <c r="R13" s="150"/>
    </row>
    <row r="14" spans="2:18" ht="17">
      <c r="B14" s="237"/>
      <c r="C14" s="232" t="s">
        <v>381</v>
      </c>
      <c r="D14" s="233"/>
      <c r="E14" s="153"/>
      <c r="F14" s="153"/>
      <c r="G14" s="153"/>
      <c r="H14" s="153"/>
      <c r="I14" s="153"/>
      <c r="J14" s="153"/>
      <c r="K14" s="153"/>
      <c r="L14" s="153"/>
      <c r="M14" s="153"/>
      <c r="N14" s="153"/>
      <c r="P14" s="149"/>
      <c r="Q14" s="150"/>
      <c r="R14" s="150"/>
    </row>
    <row r="15" spans="2:18">
      <c r="B15" s="234"/>
      <c r="C15" s="235"/>
      <c r="D15" s="236"/>
      <c r="E15" s="154"/>
      <c r="F15" s="154"/>
      <c r="G15" s="154"/>
      <c r="H15" s="154"/>
      <c r="I15" s="154"/>
      <c r="J15" s="154"/>
      <c r="K15" s="154"/>
      <c r="L15" s="154"/>
      <c r="M15" s="154"/>
      <c r="N15" s="154"/>
      <c r="P15" s="150"/>
      <c r="Q15" s="150"/>
      <c r="R15" s="150"/>
    </row>
    <row r="16" spans="2:18" ht="102">
      <c r="B16" s="237" t="s">
        <v>188</v>
      </c>
      <c r="C16" s="310" t="s">
        <v>368</v>
      </c>
      <c r="D16" s="239"/>
      <c r="E16" s="155"/>
      <c r="F16" s="155"/>
      <c r="G16" s="155"/>
      <c r="H16" s="155"/>
      <c r="I16" s="155"/>
      <c r="J16" s="155"/>
      <c r="K16" s="155"/>
      <c r="L16" s="155"/>
      <c r="M16" s="155"/>
      <c r="N16" s="155"/>
      <c r="P16" s="150"/>
      <c r="Q16" s="150"/>
      <c r="R16" s="150"/>
    </row>
    <row r="17" spans="2:18" ht="17">
      <c r="B17" s="237"/>
      <c r="C17" s="238"/>
      <c r="D17" s="519" t="s">
        <v>343</v>
      </c>
      <c r="E17" s="155"/>
      <c r="F17" s="155"/>
      <c r="G17" s="155"/>
      <c r="H17" s="155"/>
      <c r="I17" s="155"/>
      <c r="J17" s="155"/>
      <c r="K17" s="155"/>
      <c r="L17" s="155"/>
      <c r="M17" s="155"/>
      <c r="N17" s="155"/>
      <c r="P17" s="150"/>
      <c r="Q17" s="150"/>
      <c r="R17" s="150"/>
    </row>
    <row r="18" spans="2:18" ht="34">
      <c r="B18" s="237" t="s">
        <v>197</v>
      </c>
      <c r="C18" s="232" t="s">
        <v>314</v>
      </c>
      <c r="D18" s="671" t="s">
        <v>344</v>
      </c>
      <c r="E18" s="155"/>
      <c r="F18" s="155"/>
      <c r="G18" s="155"/>
      <c r="H18" s="155"/>
      <c r="I18" s="155"/>
      <c r="J18" s="155"/>
      <c r="K18" s="155"/>
      <c r="L18" s="155"/>
      <c r="M18" s="155"/>
      <c r="N18" s="155"/>
      <c r="P18" s="150"/>
      <c r="Q18" s="150"/>
      <c r="R18" s="150"/>
    </row>
    <row r="19" spans="2:18" ht="30" customHeight="1">
      <c r="B19" s="237"/>
      <c r="C19" s="314" t="s">
        <v>189</v>
      </c>
      <c r="D19" s="520" t="s">
        <v>345</v>
      </c>
      <c r="E19" s="154"/>
      <c r="F19" s="154"/>
      <c r="G19" s="154"/>
      <c r="H19" s="154"/>
      <c r="I19" s="154"/>
      <c r="J19" s="154"/>
      <c r="K19" s="154"/>
      <c r="L19" s="154"/>
      <c r="M19" s="154"/>
      <c r="N19" s="154"/>
      <c r="P19" s="150"/>
      <c r="Q19" s="150"/>
      <c r="R19" s="150"/>
    </row>
    <row r="20" spans="2:18" ht="30" customHeight="1">
      <c r="B20" s="237"/>
      <c r="C20" s="315" t="s">
        <v>198</v>
      </c>
      <c r="D20" s="521"/>
      <c r="E20" s="155"/>
      <c r="F20" s="155"/>
      <c r="G20" s="155"/>
      <c r="H20" s="155"/>
      <c r="I20" s="155"/>
      <c r="J20" s="155"/>
      <c r="K20" s="155"/>
      <c r="L20" s="155"/>
      <c r="M20" s="155"/>
      <c r="N20" s="155"/>
      <c r="P20" s="149"/>
      <c r="Q20" s="150"/>
      <c r="R20" s="150"/>
    </row>
    <row r="21" spans="2:18" ht="30" customHeight="1">
      <c r="B21" s="237"/>
      <c r="C21" s="315" t="s">
        <v>315</v>
      </c>
      <c r="D21" s="522"/>
      <c r="E21" s="157"/>
      <c r="F21" s="157"/>
      <c r="G21" s="157"/>
      <c r="H21" s="157"/>
      <c r="I21" s="157"/>
      <c r="J21" s="157"/>
      <c r="K21" s="157"/>
      <c r="L21" s="157"/>
      <c r="M21" s="157"/>
      <c r="N21" s="157"/>
      <c r="P21" s="150"/>
      <c r="Q21" s="150"/>
      <c r="R21" s="150"/>
    </row>
    <row r="22" spans="2:18" ht="30" customHeight="1">
      <c r="B22" s="237"/>
      <c r="C22" s="314" t="s">
        <v>316</v>
      </c>
      <c r="D22" s="523" t="s">
        <v>346</v>
      </c>
      <c r="E22" s="158"/>
      <c r="F22" s="158"/>
      <c r="G22" s="158"/>
      <c r="H22" s="158"/>
      <c r="I22" s="158"/>
      <c r="J22" s="158"/>
      <c r="K22" s="158"/>
      <c r="L22" s="158"/>
      <c r="M22" s="158"/>
      <c r="N22" s="158"/>
    </row>
    <row r="23" spans="2:18" ht="51">
      <c r="B23" s="237"/>
      <c r="C23" s="315" t="s">
        <v>317</v>
      </c>
      <c r="D23" s="524" t="s">
        <v>7</v>
      </c>
      <c r="E23" s="157"/>
      <c r="F23" s="157"/>
      <c r="G23" s="157"/>
      <c r="H23" s="157"/>
      <c r="I23" s="157"/>
      <c r="J23" s="157"/>
      <c r="K23" s="157"/>
      <c r="L23" s="157"/>
      <c r="M23" s="157"/>
      <c r="N23" s="157"/>
    </row>
    <row r="24" spans="2:18" ht="15" customHeight="1">
      <c r="B24" s="237"/>
      <c r="C24" s="240"/>
      <c r="D24" s="239"/>
      <c r="E24" s="157"/>
      <c r="F24" s="157"/>
      <c r="G24" s="157"/>
      <c r="H24" s="157"/>
      <c r="I24" s="157"/>
      <c r="J24" s="157"/>
      <c r="K24" s="157"/>
      <c r="L24" s="157"/>
      <c r="M24" s="157"/>
      <c r="N24" s="157"/>
    </row>
    <row r="25" spans="2:18" ht="153">
      <c r="B25" s="237" t="s">
        <v>264</v>
      </c>
      <c r="C25" s="238" t="s">
        <v>347</v>
      </c>
      <c r="D25" s="239"/>
      <c r="E25" s="155"/>
      <c r="F25" s="155"/>
      <c r="G25" s="155"/>
      <c r="H25" s="155"/>
      <c r="I25" s="155"/>
      <c r="J25" s="155"/>
      <c r="K25" s="155"/>
      <c r="L25" s="155"/>
      <c r="M25" s="155"/>
      <c r="N25" s="155"/>
    </row>
    <row r="26" spans="2:18">
      <c r="B26" s="237"/>
      <c r="C26" s="238"/>
      <c r="D26" s="239"/>
      <c r="E26" s="155"/>
      <c r="F26" s="155"/>
      <c r="G26" s="155"/>
      <c r="H26" s="155"/>
      <c r="I26" s="155"/>
      <c r="J26" s="155"/>
      <c r="K26" s="155"/>
      <c r="L26" s="155"/>
      <c r="M26" s="155"/>
      <c r="N26" s="155"/>
    </row>
    <row r="27" spans="2:18" ht="85">
      <c r="B27" s="237" t="s">
        <v>265</v>
      </c>
      <c r="C27" s="310" t="s">
        <v>318</v>
      </c>
      <c r="D27" s="241"/>
      <c r="E27" s="159"/>
      <c r="F27" s="159"/>
      <c r="G27" s="159"/>
      <c r="H27" s="159"/>
      <c r="I27" s="159"/>
      <c r="J27" s="159"/>
      <c r="K27" s="159"/>
      <c r="L27" s="159"/>
      <c r="M27" s="159"/>
      <c r="N27" s="159"/>
    </row>
    <row r="28" spans="2:18">
      <c r="B28" s="237"/>
      <c r="C28" s="310"/>
      <c r="D28" s="241"/>
      <c r="E28" s="159"/>
      <c r="F28" s="159"/>
      <c r="G28" s="159"/>
      <c r="H28" s="159"/>
      <c r="I28" s="159"/>
      <c r="J28" s="159"/>
      <c r="K28" s="159"/>
      <c r="L28" s="159"/>
      <c r="M28" s="159"/>
      <c r="N28" s="159"/>
    </row>
    <row r="29" spans="2:18" ht="34">
      <c r="B29" s="673" t="s">
        <v>372</v>
      </c>
      <c r="C29" s="315" t="s">
        <v>373</v>
      </c>
      <c r="D29" s="241"/>
      <c r="E29" s="159"/>
      <c r="F29" s="159"/>
      <c r="G29" s="159"/>
      <c r="H29" s="159"/>
      <c r="I29" s="159"/>
      <c r="J29" s="159"/>
      <c r="K29" s="159"/>
      <c r="L29" s="159"/>
      <c r="M29" s="159"/>
      <c r="N29" s="159"/>
    </row>
    <row r="30" spans="2:18">
      <c r="B30" s="234" t="s">
        <v>374</v>
      </c>
      <c r="C30" s="674" t="s">
        <v>369</v>
      </c>
      <c r="D30" s="241"/>
      <c r="E30" s="159"/>
      <c r="F30" s="159"/>
      <c r="G30" s="159"/>
      <c r="H30" s="159"/>
      <c r="I30" s="159"/>
      <c r="J30" s="159"/>
      <c r="K30" s="159"/>
      <c r="L30" s="159"/>
      <c r="M30" s="159"/>
      <c r="N30" s="159"/>
    </row>
    <row r="31" spans="2:18">
      <c r="B31" s="234" t="s">
        <v>375</v>
      </c>
      <c r="C31" s="674" t="s">
        <v>370</v>
      </c>
      <c r="D31" s="241"/>
      <c r="E31" s="159"/>
      <c r="F31" s="159"/>
      <c r="G31" s="159"/>
      <c r="H31" s="159"/>
      <c r="I31" s="159"/>
      <c r="J31" s="159"/>
      <c r="K31" s="159"/>
      <c r="L31" s="159"/>
      <c r="M31" s="159"/>
      <c r="N31" s="159"/>
    </row>
    <row r="32" spans="2:18">
      <c r="B32" s="234" t="s">
        <v>376</v>
      </c>
      <c r="C32" s="674" t="s">
        <v>371</v>
      </c>
      <c r="D32" s="241"/>
      <c r="E32" s="159"/>
      <c r="F32" s="159"/>
      <c r="G32" s="159"/>
      <c r="H32" s="159"/>
      <c r="I32" s="159"/>
      <c r="J32" s="159"/>
      <c r="K32" s="159"/>
      <c r="L32" s="159"/>
      <c r="M32" s="159"/>
      <c r="N32" s="159"/>
    </row>
    <row r="33" spans="2:14">
      <c r="B33" s="237"/>
      <c r="C33" s="310"/>
      <c r="D33" s="241"/>
      <c r="E33" s="159"/>
      <c r="F33" s="159"/>
      <c r="G33" s="159"/>
      <c r="H33" s="159"/>
      <c r="I33" s="159"/>
      <c r="J33" s="159"/>
      <c r="K33" s="159"/>
      <c r="L33" s="159"/>
      <c r="M33" s="159"/>
      <c r="N33" s="159"/>
    </row>
    <row r="34" spans="2:14" ht="68">
      <c r="B34" s="237" t="s">
        <v>426</v>
      </c>
      <c r="C34" s="238" t="s">
        <v>391</v>
      </c>
      <c r="D34" s="241"/>
      <c r="E34" s="159"/>
      <c r="F34" s="159"/>
      <c r="G34" s="159"/>
      <c r="H34" s="159"/>
      <c r="I34" s="159"/>
      <c r="J34" s="159"/>
      <c r="K34" s="159"/>
      <c r="L34" s="159"/>
      <c r="M34" s="159"/>
      <c r="N34" s="159"/>
    </row>
    <row r="35" spans="2:14" ht="17">
      <c r="B35" s="237"/>
      <c r="C35" s="687" t="s">
        <v>383</v>
      </c>
      <c r="D35" s="241"/>
      <c r="E35" s="159"/>
      <c r="F35" s="159"/>
      <c r="G35" s="159"/>
      <c r="H35" s="159"/>
      <c r="I35" s="159"/>
      <c r="J35" s="159"/>
      <c r="K35" s="159"/>
      <c r="L35" s="159"/>
      <c r="M35" s="159"/>
      <c r="N35" s="159"/>
    </row>
    <row r="36" spans="2:14" ht="17">
      <c r="B36" s="237"/>
      <c r="C36" s="687" t="s">
        <v>384</v>
      </c>
      <c r="D36" s="241"/>
      <c r="E36" s="159"/>
      <c r="F36" s="159"/>
      <c r="G36" s="159"/>
      <c r="H36" s="159"/>
      <c r="I36" s="159"/>
      <c r="J36" s="159"/>
      <c r="K36" s="159"/>
      <c r="L36" s="159"/>
      <c r="M36" s="159"/>
      <c r="N36" s="159"/>
    </row>
    <row r="37" spans="2:14" ht="17">
      <c r="B37" s="237"/>
      <c r="C37" s="687" t="s">
        <v>385</v>
      </c>
      <c r="D37" s="241"/>
      <c r="E37" s="159"/>
      <c r="F37" s="159"/>
      <c r="G37" s="159"/>
      <c r="H37" s="159"/>
      <c r="I37" s="159"/>
      <c r="J37" s="159"/>
      <c r="K37" s="159"/>
      <c r="L37" s="159"/>
      <c r="M37" s="159"/>
      <c r="N37" s="159"/>
    </row>
    <row r="38" spans="2:14" ht="17">
      <c r="B38" s="237"/>
      <c r="C38" s="687" t="s">
        <v>386</v>
      </c>
      <c r="D38" s="241"/>
      <c r="E38" s="159"/>
      <c r="F38" s="159"/>
      <c r="G38" s="159"/>
      <c r="H38" s="159"/>
      <c r="I38" s="159"/>
      <c r="J38" s="159"/>
      <c r="K38" s="159"/>
      <c r="L38" s="159"/>
      <c r="M38" s="159"/>
      <c r="N38" s="159"/>
    </row>
    <row r="39" spans="2:14" ht="17">
      <c r="B39" s="237"/>
      <c r="C39" s="687" t="s">
        <v>387</v>
      </c>
      <c r="D39" s="241"/>
      <c r="E39" s="159"/>
      <c r="F39" s="159"/>
      <c r="G39" s="159"/>
      <c r="H39" s="159"/>
      <c r="I39" s="159"/>
      <c r="J39" s="159"/>
      <c r="K39" s="159"/>
      <c r="L39" s="159"/>
      <c r="M39" s="159"/>
      <c r="N39" s="159"/>
    </row>
    <row r="40" spans="2:14" ht="17">
      <c r="B40" s="237"/>
      <c r="C40" s="687" t="s">
        <v>388</v>
      </c>
      <c r="D40" s="241"/>
      <c r="E40" s="159"/>
      <c r="F40" s="159"/>
      <c r="G40" s="159"/>
      <c r="H40" s="159"/>
      <c r="I40" s="159"/>
      <c r="J40" s="159"/>
      <c r="K40" s="159"/>
      <c r="L40" s="159"/>
      <c r="M40" s="159"/>
      <c r="N40" s="159"/>
    </row>
    <row r="41" spans="2:14" ht="17">
      <c r="B41" s="237"/>
      <c r="C41" s="687" t="s">
        <v>389</v>
      </c>
      <c r="D41" s="241"/>
      <c r="E41" s="159"/>
      <c r="F41" s="159"/>
      <c r="G41" s="159"/>
      <c r="H41" s="159"/>
      <c r="I41" s="159"/>
      <c r="J41" s="159"/>
      <c r="K41" s="159"/>
      <c r="L41" s="159"/>
      <c r="M41" s="159"/>
      <c r="N41" s="159"/>
    </row>
    <row r="42" spans="2:14" ht="17">
      <c r="B42" s="237"/>
      <c r="C42" s="687" t="s">
        <v>390</v>
      </c>
      <c r="D42" s="241"/>
      <c r="E42" s="159"/>
      <c r="F42" s="159"/>
      <c r="G42" s="159"/>
      <c r="H42" s="159"/>
      <c r="I42" s="159"/>
      <c r="J42" s="159"/>
      <c r="K42" s="159"/>
      <c r="L42" s="159"/>
      <c r="M42" s="159"/>
      <c r="N42" s="159"/>
    </row>
    <row r="43" spans="2:14" ht="17" thickBot="1">
      <c r="B43" s="242"/>
      <c r="C43" s="243"/>
      <c r="D43" s="244"/>
      <c r="E43" s="154"/>
      <c r="F43" s="154"/>
      <c r="G43" s="154"/>
      <c r="H43" s="154"/>
      <c r="I43" s="154"/>
      <c r="J43" s="154"/>
      <c r="K43" s="154"/>
      <c r="L43" s="154"/>
      <c r="M43" s="154"/>
      <c r="N43" s="154"/>
    </row>
  </sheetData>
  <sheetProtection password="8895" sheet="1" objects="1" scenarios="1"/>
  <hyperlinks>
    <hyperlink ref="C30" r:id="rId1" xr:uid="{00000000-0004-0000-0000-000000000000}"/>
    <hyperlink ref="C31" r:id="rId2" xr:uid="{00000000-0004-0000-0000-000001000000}"/>
    <hyperlink ref="C32" r:id="rId3" xr:uid="{00000000-0004-0000-0000-000002000000}"/>
    <hyperlink ref="C10" r:id="rId4" xr:uid="{00000000-0004-0000-0000-000003000000}"/>
    <hyperlink ref="C13" r:id="rId5" xr:uid="{00000000-0004-0000-0000-000004000000}"/>
  </hyperlinks>
  <pageMargins left="0.7" right="0.7" top="0.75" bottom="0.75" header="0.3" footer="0.3"/>
  <pageSetup scale="54" orientation="portrait" horizontalDpi="4294967293" verticalDpi="0" r:id="rId6"/>
  <legacy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C114"/>
  <sheetViews>
    <sheetView showGridLines="0" zoomScale="70" zoomScaleNormal="70" workbookViewId="0">
      <pane ySplit="4" topLeftCell="A5" activePane="bottomLeft" state="frozen"/>
      <selection pane="bottomLeft" activeCell="X58" sqref="X58"/>
    </sheetView>
  </sheetViews>
  <sheetFormatPr baseColWidth="10" defaultColWidth="9.1640625" defaultRowHeight="16"/>
  <cols>
    <col min="1" max="1" width="1.6640625" style="1" customWidth="1"/>
    <col min="2" max="2" width="1" style="1" customWidth="1"/>
    <col min="3" max="3" width="7.6640625" style="1" customWidth="1"/>
    <col min="4" max="4" width="1" style="1" customWidth="1"/>
    <col min="5" max="5" width="54" style="1" customWidth="1"/>
    <col min="6" max="6" width="18.5" style="1" customWidth="1"/>
    <col min="7" max="7" width="19.1640625" style="1" bestFit="1" customWidth="1"/>
    <col min="8" max="8" width="0.83203125" style="1" customWidth="1"/>
    <col min="9" max="9" width="6.6640625" style="1" customWidth="1"/>
    <col min="10" max="11" width="1.83203125" style="1" customWidth="1"/>
    <col min="12" max="12" width="1.1640625" style="1" customWidth="1"/>
    <col min="13" max="13" width="7.6640625" style="1" customWidth="1"/>
    <col min="14" max="14" width="1" style="1" customWidth="1"/>
    <col min="15" max="15" width="55.5" style="1" customWidth="1"/>
    <col min="16" max="16" width="19" style="1" customWidth="1"/>
    <col min="17" max="17" width="24.33203125" style="1" customWidth="1"/>
    <col min="18" max="18" width="0.83203125" style="1" customWidth="1"/>
    <col min="19" max="19" width="6.83203125" style="1" customWidth="1"/>
    <col min="20" max="20" width="11.1640625" style="1" customWidth="1"/>
    <col min="21" max="26" width="19.1640625" style="1" customWidth="1"/>
    <col min="27" max="27" width="0.83203125" style="1" customWidth="1"/>
    <col min="28" max="16384" width="9.1640625" style="1"/>
  </cols>
  <sheetData>
    <row r="1" spans="2:28" ht="7.5" customHeight="1" thickBot="1">
      <c r="B1" s="91"/>
    </row>
    <row r="2" spans="2:28" s="331" customFormat="1" ht="30" customHeight="1" thickBot="1">
      <c r="B2" s="500"/>
      <c r="C2" s="796" t="s">
        <v>240</v>
      </c>
      <c r="D2" s="796"/>
      <c r="E2" s="796"/>
      <c r="F2" s="796"/>
      <c r="G2" s="796"/>
      <c r="H2" s="796"/>
      <c r="I2" s="796"/>
      <c r="J2" s="796"/>
      <c r="K2" s="796"/>
      <c r="L2" s="797"/>
      <c r="M2" s="797"/>
      <c r="N2" s="797"/>
      <c r="O2" s="797"/>
      <c r="P2" s="797"/>
      <c r="Q2" s="797"/>
      <c r="R2" s="797"/>
      <c r="S2" s="797"/>
      <c r="T2" s="797"/>
      <c r="U2" s="411"/>
      <c r="V2" s="412"/>
      <c r="W2" s="412"/>
      <c r="X2" s="412"/>
      <c r="Y2" s="412"/>
      <c r="Z2" s="412"/>
      <c r="AA2" s="412"/>
      <c r="AB2" s="413"/>
    </row>
    <row r="3" spans="2:28" ht="7.5" customHeight="1">
      <c r="B3" s="11"/>
      <c r="C3" s="348"/>
      <c r="D3" s="348"/>
      <c r="E3" s="348"/>
      <c r="F3" s="348"/>
      <c r="G3" s="348"/>
      <c r="H3" s="348"/>
      <c r="I3" s="348"/>
      <c r="J3" s="348"/>
      <c r="K3" s="347"/>
      <c r="L3" s="347"/>
      <c r="M3" s="348"/>
      <c r="N3" s="348"/>
      <c r="O3" s="348"/>
      <c r="P3" s="348"/>
      <c r="Q3" s="348"/>
      <c r="R3" s="348"/>
      <c r="S3" s="348"/>
      <c r="T3" s="348"/>
      <c r="U3" s="348"/>
      <c r="V3" s="349"/>
      <c r="W3" s="349"/>
      <c r="X3" s="349"/>
      <c r="Y3" s="349"/>
      <c r="Z3" s="349"/>
      <c r="AA3" s="349"/>
      <c r="AB3" s="378"/>
    </row>
    <row r="4" spans="2:28" ht="19" thickBot="1">
      <c r="B4" s="11"/>
      <c r="C4" s="488" t="s">
        <v>18</v>
      </c>
      <c r="D4" s="16"/>
      <c r="F4" s="17"/>
      <c r="H4" s="477"/>
      <c r="I4" s="501" t="s">
        <v>17</v>
      </c>
      <c r="K4" s="379"/>
      <c r="L4" s="379"/>
      <c r="M4" s="488" t="s">
        <v>18</v>
      </c>
      <c r="N4" s="17"/>
      <c r="O4" s="795" t="s">
        <v>13</v>
      </c>
      <c r="P4" s="795"/>
      <c r="Q4" s="507"/>
      <c r="R4" s="17"/>
      <c r="S4" s="488" t="s">
        <v>17</v>
      </c>
      <c r="T4" s="478"/>
      <c r="U4" s="16"/>
      <c r="AB4" s="330"/>
    </row>
    <row r="5" spans="2:28" ht="19" thickBot="1">
      <c r="B5" s="502"/>
      <c r="C5" s="349"/>
      <c r="D5" s="349"/>
      <c r="E5" s="23"/>
      <c r="F5" s="18"/>
      <c r="G5" s="22"/>
      <c r="H5" s="503"/>
      <c r="I5" s="504"/>
      <c r="J5" s="505"/>
      <c r="K5" s="17"/>
      <c r="L5" s="502"/>
      <c r="M5" s="349"/>
      <c r="N5" s="349"/>
      <c r="O5" s="349"/>
      <c r="P5" s="349"/>
      <c r="Q5" s="349"/>
      <c r="R5" s="349"/>
      <c r="S5" s="349"/>
      <c r="T5" s="349"/>
      <c r="U5" s="349"/>
      <c r="V5" s="349"/>
      <c r="W5" s="349"/>
      <c r="X5" s="349"/>
      <c r="Y5" s="349"/>
      <c r="Z5" s="349"/>
      <c r="AA5" s="349"/>
      <c r="AB5" s="378"/>
    </row>
    <row r="6" spans="2:28" ht="17" thickBot="1">
      <c r="B6" s="11"/>
      <c r="E6" s="2" t="s">
        <v>14</v>
      </c>
      <c r="F6" s="430" t="s">
        <v>287</v>
      </c>
      <c r="G6" s="498" t="s">
        <v>322</v>
      </c>
      <c r="H6" s="78"/>
      <c r="I6" s="19"/>
      <c r="J6" s="489"/>
      <c r="K6" s="17"/>
      <c r="L6" s="11"/>
      <c r="O6" s="2" t="s">
        <v>448</v>
      </c>
      <c r="P6" s="430" t="s">
        <v>287</v>
      </c>
      <c r="Q6" s="498" t="s">
        <v>322</v>
      </c>
      <c r="AB6" s="330"/>
    </row>
    <row r="7" spans="2:28">
      <c r="B7" s="11"/>
      <c r="C7" s="401"/>
      <c r="E7" s="553" t="s">
        <v>28</v>
      </c>
      <c r="F7" s="547" t="s">
        <v>326</v>
      </c>
      <c r="G7" s="571">
        <v>500</v>
      </c>
      <c r="H7" s="351"/>
      <c r="I7" s="13" t="s">
        <v>7</v>
      </c>
      <c r="J7" s="490"/>
      <c r="K7" s="17"/>
      <c r="L7" s="11"/>
      <c r="O7" s="748" t="s">
        <v>441</v>
      </c>
      <c r="P7" s="28" t="s">
        <v>442</v>
      </c>
      <c r="Q7" s="749">
        <v>30</v>
      </c>
      <c r="S7" s="13" t="s">
        <v>7</v>
      </c>
      <c r="AB7" s="330"/>
    </row>
    <row r="8" spans="2:28">
      <c r="B8" s="11"/>
      <c r="C8" s="401"/>
      <c r="E8" s="727" t="s">
        <v>439</v>
      </c>
      <c r="F8" s="21" t="s">
        <v>427</v>
      </c>
      <c r="G8" s="739">
        <f>(G7*G13)/G10*24</f>
        <v>212696.10389610392</v>
      </c>
      <c r="I8" s="13" t="s">
        <v>7</v>
      </c>
      <c r="J8" s="330"/>
      <c r="K8" s="17"/>
      <c r="L8" s="11"/>
      <c r="O8" s="727" t="s">
        <v>446</v>
      </c>
      <c r="P8" s="21" t="s">
        <v>447</v>
      </c>
      <c r="Q8" s="740">
        <v>10000</v>
      </c>
      <c r="S8" s="13" t="s">
        <v>7</v>
      </c>
      <c r="AB8" s="330"/>
    </row>
    <row r="9" spans="2:28">
      <c r="B9" s="11"/>
      <c r="E9" s="727" t="s">
        <v>440</v>
      </c>
      <c r="F9" s="21" t="s">
        <v>429</v>
      </c>
      <c r="G9" s="728">
        <f>G8*365</f>
        <v>77634077.922077924</v>
      </c>
      <c r="I9" s="13" t="s">
        <v>7</v>
      </c>
      <c r="J9" s="330"/>
      <c r="K9" s="17"/>
      <c r="L9" s="11"/>
      <c r="O9" s="727" t="s">
        <v>443</v>
      </c>
      <c r="P9" s="21" t="s">
        <v>442</v>
      </c>
      <c r="Q9" s="750">
        <v>0</v>
      </c>
      <c r="S9" s="13" t="s">
        <v>7</v>
      </c>
      <c r="AB9" s="330"/>
    </row>
    <row r="10" spans="2:28">
      <c r="B10" s="11"/>
      <c r="C10" s="401"/>
      <c r="E10" s="727" t="s">
        <v>434</v>
      </c>
      <c r="F10" s="21" t="s">
        <v>428</v>
      </c>
      <c r="G10" s="740">
        <v>550</v>
      </c>
      <c r="I10" s="13" t="s">
        <v>7</v>
      </c>
      <c r="J10" s="330"/>
      <c r="K10" s="17"/>
      <c r="L10" s="11"/>
      <c r="O10" s="727" t="s">
        <v>446</v>
      </c>
      <c r="P10" s="21" t="s">
        <v>447</v>
      </c>
      <c r="Q10" s="740">
        <v>0</v>
      </c>
      <c r="S10" s="13" t="s">
        <v>7</v>
      </c>
      <c r="AB10" s="330"/>
    </row>
    <row r="11" spans="2:28">
      <c r="B11" s="11"/>
      <c r="E11" s="727" t="s">
        <v>435</v>
      </c>
      <c r="F11" s="21" t="s">
        <v>430</v>
      </c>
      <c r="G11" s="728">
        <f>(G10/1000000)*G9</f>
        <v>42698.742857142861</v>
      </c>
      <c r="I11" s="13" t="s">
        <v>7</v>
      </c>
      <c r="J11" s="330"/>
      <c r="K11" s="17"/>
      <c r="L11" s="11"/>
      <c r="O11" s="727" t="s">
        <v>444</v>
      </c>
      <c r="P11" s="21" t="s">
        <v>442</v>
      </c>
      <c r="Q11" s="750">
        <v>0</v>
      </c>
      <c r="S11" s="13" t="s">
        <v>7</v>
      </c>
      <c r="AB11" s="330"/>
    </row>
    <row r="12" spans="2:28">
      <c r="B12" s="11"/>
      <c r="E12" s="727" t="s">
        <v>471</v>
      </c>
      <c r="F12" s="21" t="s">
        <v>1</v>
      </c>
      <c r="G12" s="741">
        <v>0.35</v>
      </c>
      <c r="I12" s="13" t="s">
        <v>7</v>
      </c>
      <c r="J12" s="330"/>
      <c r="K12" s="17"/>
      <c r="L12" s="11"/>
      <c r="O12" s="727" t="s">
        <v>446</v>
      </c>
      <c r="P12" s="21" t="s">
        <v>447</v>
      </c>
      <c r="Q12" s="740">
        <v>0</v>
      </c>
      <c r="S12" s="13" t="s">
        <v>7</v>
      </c>
      <c r="AB12" s="330"/>
    </row>
    <row r="13" spans="2:28">
      <c r="B13" s="11"/>
      <c r="E13" s="727" t="s">
        <v>431</v>
      </c>
      <c r="F13" s="21" t="s">
        <v>433</v>
      </c>
      <c r="G13" s="728">
        <f>3412/G12</f>
        <v>9748.5714285714294</v>
      </c>
      <c r="I13" s="13" t="s">
        <v>7</v>
      </c>
      <c r="J13" s="330"/>
      <c r="K13" s="17"/>
      <c r="L13" s="11"/>
      <c r="O13" s="727" t="s">
        <v>459</v>
      </c>
      <c r="P13" s="21" t="s">
        <v>466</v>
      </c>
      <c r="Q13" s="750">
        <v>0</v>
      </c>
      <c r="S13" s="13" t="s">
        <v>7</v>
      </c>
      <c r="AB13" s="330"/>
    </row>
    <row r="14" spans="2:28">
      <c r="B14" s="11"/>
      <c r="E14" s="727" t="s">
        <v>437</v>
      </c>
      <c r="F14" s="21" t="s">
        <v>1</v>
      </c>
      <c r="G14" s="741">
        <v>0.92</v>
      </c>
      <c r="I14" s="13" t="s">
        <v>7</v>
      </c>
      <c r="J14" s="330"/>
      <c r="K14" s="17"/>
      <c r="L14" s="11"/>
      <c r="O14" s="727" t="s">
        <v>465</v>
      </c>
      <c r="P14" s="21" t="s">
        <v>1</v>
      </c>
      <c r="Q14" s="751">
        <v>0.01</v>
      </c>
      <c r="S14" s="13" t="s">
        <v>7</v>
      </c>
      <c r="AB14" s="330"/>
    </row>
    <row r="15" spans="2:28">
      <c r="B15" s="11"/>
      <c r="E15" s="727" t="s">
        <v>438</v>
      </c>
      <c r="F15" s="21" t="s">
        <v>1</v>
      </c>
      <c r="G15" s="741">
        <v>0.1</v>
      </c>
      <c r="I15" s="13" t="s">
        <v>7</v>
      </c>
      <c r="J15" s="330"/>
      <c r="K15" s="17"/>
      <c r="L15" s="11"/>
      <c r="O15" s="727" t="s">
        <v>456</v>
      </c>
      <c r="P15" s="21" t="s">
        <v>467</v>
      </c>
      <c r="Q15" s="740">
        <v>4000000</v>
      </c>
      <c r="S15" s="13" t="s">
        <v>7</v>
      </c>
      <c r="AB15" s="330"/>
    </row>
    <row r="16" spans="2:28">
      <c r="B16" s="11"/>
      <c r="E16" s="727" t="s">
        <v>436</v>
      </c>
      <c r="F16" s="21" t="s">
        <v>2</v>
      </c>
      <c r="G16" s="728">
        <f>((1/(G13/1000000))*G11)*G14*(1-G15)</f>
        <v>3626640</v>
      </c>
      <c r="I16" s="13" t="s">
        <v>7</v>
      </c>
      <c r="J16" s="330"/>
      <c r="K16" s="17"/>
      <c r="L16" s="11"/>
      <c r="O16" s="727" t="s">
        <v>472</v>
      </c>
      <c r="P16" s="21" t="s">
        <v>1</v>
      </c>
      <c r="Q16" s="741">
        <v>0.85</v>
      </c>
      <c r="S16" s="13" t="s">
        <v>7</v>
      </c>
      <c r="AB16" s="330"/>
    </row>
    <row r="17" spans="2:28">
      <c r="B17" s="11"/>
      <c r="C17" s="455"/>
      <c r="D17" s="1">
        <f>IF(OR(G17&lt;0,G17&gt;1),1,0)</f>
        <v>0</v>
      </c>
      <c r="E17" s="566" t="s">
        <v>200</v>
      </c>
      <c r="F17" s="6" t="s">
        <v>1</v>
      </c>
      <c r="G17" s="601">
        <v>0</v>
      </c>
      <c r="H17" s="352"/>
      <c r="I17" s="506" t="s">
        <v>7</v>
      </c>
      <c r="J17" s="490"/>
      <c r="K17" s="17"/>
      <c r="L17" s="11"/>
      <c r="O17" s="727" t="s">
        <v>473</v>
      </c>
      <c r="P17" s="21" t="s">
        <v>433</v>
      </c>
      <c r="Q17" s="728">
        <f>(G13-3412)*Q16</f>
        <v>5386.0857142857149</v>
      </c>
      <c r="S17" s="13" t="s">
        <v>7</v>
      </c>
      <c r="AB17" s="330"/>
    </row>
    <row r="18" spans="2:28" ht="17" thickBot="1">
      <c r="B18" s="11"/>
      <c r="C18" s="456"/>
      <c r="D18" s="1">
        <f>IF(OR(G18&lt;1,G18&gt;30),1,0)</f>
        <v>0</v>
      </c>
      <c r="E18" s="569" t="s">
        <v>212</v>
      </c>
      <c r="F18" s="562" t="s">
        <v>3</v>
      </c>
      <c r="G18" s="573">
        <v>20</v>
      </c>
      <c r="H18" s="353"/>
      <c r="I18" s="13" t="s">
        <v>7</v>
      </c>
      <c r="J18" s="490"/>
      <c r="K18" s="17"/>
      <c r="L18" s="11"/>
      <c r="O18" s="727" t="s">
        <v>480</v>
      </c>
      <c r="P18" s="21" t="s">
        <v>476</v>
      </c>
      <c r="Q18" s="750">
        <v>0</v>
      </c>
      <c r="S18" s="13" t="s">
        <v>7</v>
      </c>
      <c r="AB18" s="330"/>
    </row>
    <row r="19" spans="2:28" ht="17" thickBot="1">
      <c r="B19" s="11"/>
      <c r="G19" s="19"/>
      <c r="H19" s="19"/>
      <c r="I19" s="15"/>
      <c r="J19" s="490"/>
      <c r="K19" s="17"/>
      <c r="L19" s="11"/>
      <c r="O19" s="727" t="s">
        <v>475</v>
      </c>
      <c r="P19" s="21" t="s">
        <v>1</v>
      </c>
      <c r="Q19" s="752">
        <v>0.02</v>
      </c>
      <c r="S19" s="13" t="s">
        <v>7</v>
      </c>
      <c r="AB19" s="330"/>
    </row>
    <row r="20" spans="2:28" ht="17" thickBot="1">
      <c r="B20" s="11"/>
      <c r="E20" s="9" t="s">
        <v>161</v>
      </c>
      <c r="F20" s="430" t="s">
        <v>287</v>
      </c>
      <c r="G20" s="498" t="s">
        <v>322</v>
      </c>
      <c r="H20" s="364"/>
      <c r="I20" s="15"/>
      <c r="J20" s="490"/>
      <c r="K20" s="17"/>
      <c r="L20" s="11"/>
      <c r="U20" s="17"/>
      <c r="AB20" s="330"/>
    </row>
    <row r="21" spans="2:28" ht="17" thickBot="1">
      <c r="B21" s="11"/>
      <c r="C21" s="402"/>
      <c r="E21" s="533" t="s">
        <v>8</v>
      </c>
      <c r="F21" s="534"/>
      <c r="G21" s="535" t="s">
        <v>483</v>
      </c>
      <c r="H21" s="362"/>
      <c r="I21" s="13" t="s">
        <v>7</v>
      </c>
      <c r="J21" s="490"/>
      <c r="K21" s="17"/>
      <c r="L21" s="11"/>
      <c r="O21" s="2" t="s">
        <v>378</v>
      </c>
      <c r="P21" s="430" t="s">
        <v>287</v>
      </c>
      <c r="Q21" s="498" t="s">
        <v>322</v>
      </c>
      <c r="U21" s="251"/>
      <c r="V21" s="251"/>
      <c r="W21" s="251"/>
      <c r="X21" s="251"/>
      <c r="Y21" s="251"/>
      <c r="Z21" s="251"/>
      <c r="AB21" s="330"/>
    </row>
    <row r="22" spans="2:28">
      <c r="B22" s="11"/>
      <c r="C22" s="403"/>
      <c r="E22" s="536" t="s">
        <v>137</v>
      </c>
      <c r="F22" s="537" t="s">
        <v>327</v>
      </c>
      <c r="G22" s="538">
        <v>7500</v>
      </c>
      <c r="H22" s="354"/>
      <c r="I22" s="450" t="s">
        <v>7</v>
      </c>
      <c r="J22" s="491"/>
      <c r="K22" s="17"/>
      <c r="L22" s="11"/>
      <c r="M22" s="456"/>
      <c r="N22" s="1">
        <f>IF(OR(Q22&lt;=0,Q22&gt;G18),1,0)</f>
        <v>0</v>
      </c>
      <c r="O22" s="553" t="s">
        <v>402</v>
      </c>
      <c r="P22" s="547" t="s">
        <v>3</v>
      </c>
      <c r="Q22" s="574">
        <v>20</v>
      </c>
      <c r="R22" s="353"/>
      <c r="S22" s="13" t="s">
        <v>7</v>
      </c>
      <c r="T22" s="425"/>
      <c r="U22" s="246"/>
      <c r="V22" s="246"/>
      <c r="W22" s="246"/>
      <c r="X22" s="246"/>
      <c r="Y22" s="246"/>
      <c r="Z22" s="246"/>
      <c r="AB22" s="330"/>
    </row>
    <row r="23" spans="2:28">
      <c r="B23" s="11"/>
      <c r="C23" s="404"/>
      <c r="E23" s="539" t="s">
        <v>162</v>
      </c>
      <c r="F23" s="426" t="s">
        <v>0</v>
      </c>
      <c r="G23" s="540">
        <v>2000000</v>
      </c>
      <c r="H23" s="355"/>
      <c r="I23" s="450" t="s">
        <v>7</v>
      </c>
      <c r="J23" s="490"/>
      <c r="K23" s="17"/>
      <c r="L23" s="11"/>
      <c r="M23" s="401"/>
      <c r="O23" s="559" t="s">
        <v>201</v>
      </c>
      <c r="P23" s="7" t="s">
        <v>1</v>
      </c>
      <c r="Q23" s="572">
        <v>0</v>
      </c>
      <c r="R23" s="352"/>
      <c r="S23" s="13" t="s">
        <v>7</v>
      </c>
      <c r="T23" s="425"/>
      <c r="Y23" s="223"/>
      <c r="Z23" s="223"/>
      <c r="AB23" s="330"/>
    </row>
    <row r="24" spans="2:28" ht="17" thickBot="1">
      <c r="B24" s="11"/>
      <c r="C24" s="461"/>
      <c r="E24" s="539" t="s">
        <v>164</v>
      </c>
      <c r="F24" s="426" t="s">
        <v>0</v>
      </c>
      <c r="G24" s="540">
        <v>1000000</v>
      </c>
      <c r="H24" s="355"/>
      <c r="I24" s="450" t="s">
        <v>7</v>
      </c>
      <c r="J24" s="490"/>
      <c r="K24" s="17"/>
      <c r="L24" s="11"/>
      <c r="M24" s="400"/>
      <c r="O24" s="556" t="s">
        <v>379</v>
      </c>
      <c r="P24" s="562" t="s">
        <v>1</v>
      </c>
      <c r="Q24" s="604">
        <v>0</v>
      </c>
      <c r="R24" s="352"/>
      <c r="S24" s="13" t="s">
        <v>7</v>
      </c>
      <c r="T24" s="425"/>
      <c r="Y24" s="223"/>
      <c r="Z24" s="223"/>
      <c r="AB24" s="330"/>
    </row>
    <row r="25" spans="2:28" ht="17" thickBot="1">
      <c r="B25" s="11"/>
      <c r="C25" s="461"/>
      <c r="E25" s="541" t="s">
        <v>165</v>
      </c>
      <c r="F25" s="426" t="s">
        <v>0</v>
      </c>
      <c r="G25" s="540">
        <v>150000</v>
      </c>
      <c r="H25" s="355"/>
      <c r="I25" s="450" t="s">
        <v>7</v>
      </c>
      <c r="J25" s="490"/>
      <c r="K25" s="17"/>
      <c r="L25" s="379"/>
      <c r="M25" s="17"/>
      <c r="N25" s="17"/>
      <c r="O25" s="17"/>
      <c r="P25" s="17"/>
      <c r="Q25" s="17"/>
      <c r="R25" s="17"/>
      <c r="S25" s="17"/>
      <c r="T25" s="17"/>
      <c r="Y25" s="223"/>
      <c r="Z25" s="223"/>
      <c r="AB25" s="330"/>
    </row>
    <row r="26" spans="2:28" ht="17" thickBot="1">
      <c r="B26" s="11"/>
      <c r="C26" s="461"/>
      <c r="E26" s="541" t="s">
        <v>166</v>
      </c>
      <c r="F26" s="426" t="s">
        <v>0</v>
      </c>
      <c r="G26" s="540">
        <v>100000</v>
      </c>
      <c r="H26" s="355"/>
      <c r="I26" s="450" t="s">
        <v>7</v>
      </c>
      <c r="J26" s="490"/>
      <c r="K26" s="17"/>
      <c r="L26" s="379"/>
      <c r="O26" s="2" t="s">
        <v>393</v>
      </c>
      <c r="P26" s="3"/>
      <c r="Q26" s="4"/>
      <c r="R26" s="17"/>
      <c r="S26" s="13" t="s">
        <v>7</v>
      </c>
      <c r="T26" s="223"/>
      <c r="U26" s="223"/>
      <c r="V26" s="223"/>
      <c r="W26" s="223"/>
      <c r="X26" s="223"/>
      <c r="Y26" s="223"/>
      <c r="Z26" s="223"/>
      <c r="AB26" s="330"/>
    </row>
    <row r="27" spans="2:28">
      <c r="B27" s="11"/>
      <c r="C27" s="405"/>
      <c r="E27" s="541" t="s">
        <v>98</v>
      </c>
      <c r="F27" s="426" t="s">
        <v>0</v>
      </c>
      <c r="G27" s="542">
        <f>($G$65*$G$62*SUM($G$23:$G$26)+$G$59+$G$75+$Q$81+$Q$84)</f>
        <v>390156.32449058129</v>
      </c>
      <c r="H27" s="356"/>
      <c r="I27" s="450" t="s">
        <v>7</v>
      </c>
      <c r="J27" s="490"/>
      <c r="K27" s="17"/>
      <c r="L27" s="379"/>
      <c r="M27" s="455"/>
      <c r="O27" s="605" t="s">
        <v>251</v>
      </c>
      <c r="P27" s="606"/>
      <c r="Q27" s="607" t="s">
        <v>308</v>
      </c>
      <c r="S27" s="428" t="s">
        <v>7</v>
      </c>
      <c r="T27" s="429">
        <f>IF(Q22&lt;G18,1,0)</f>
        <v>0</v>
      </c>
      <c r="U27" s="223"/>
      <c r="V27" s="223"/>
      <c r="W27" s="223"/>
      <c r="X27" s="223"/>
      <c r="Y27" s="223"/>
      <c r="Z27" s="223"/>
      <c r="AB27" s="330"/>
    </row>
    <row r="28" spans="2:28" ht="17" thickBot="1">
      <c r="B28" s="11"/>
      <c r="C28" s="405"/>
      <c r="E28" s="543" t="s">
        <v>303</v>
      </c>
      <c r="F28" s="544" t="str">
        <f>IF($G$21="Complex","$","")</f>
        <v/>
      </c>
      <c r="G28" s="545" t="str">
        <f>IF($G$21="Complex",'Complex Inputs'!$C$121,"")</f>
        <v/>
      </c>
      <c r="H28" s="357"/>
      <c r="I28" s="450" t="s">
        <v>7</v>
      </c>
      <c r="J28" s="490"/>
      <c r="K28" s="17"/>
      <c r="L28" s="379"/>
      <c r="M28" s="455"/>
      <c r="N28" s="1">
        <f>IF(OR(Q28&lt;=0,Q28=""),1,0)</f>
        <v>0</v>
      </c>
      <c r="O28" s="608" t="s">
        <v>213</v>
      </c>
      <c r="P28" s="426" t="s">
        <v>52</v>
      </c>
      <c r="Q28" s="609">
        <v>5</v>
      </c>
      <c r="S28" s="428" t="s">
        <v>7</v>
      </c>
      <c r="T28" s="429">
        <f>IF(AND($Q$22&lt;$G$18,$Q$27="Year One"),1,0)</f>
        <v>0</v>
      </c>
      <c r="U28" s="223"/>
      <c r="V28" s="223"/>
      <c r="W28" s="223"/>
      <c r="X28" s="223"/>
      <c r="AB28" s="330"/>
    </row>
    <row r="29" spans="2:28">
      <c r="B29" s="11"/>
      <c r="C29" s="406"/>
      <c r="E29" s="546" t="s">
        <v>400</v>
      </c>
      <c r="F29" s="547" t="s">
        <v>0</v>
      </c>
      <c r="G29" s="548">
        <f>IF($G$21="Simple",($G$22*$G$7),IF($G$21="Intermediate",SUM($G$23:$G$27),IF($G$21="Complex",$G$28,0)))</f>
        <v>3750000</v>
      </c>
      <c r="H29" s="357"/>
      <c r="I29" s="13" t="s">
        <v>7</v>
      </c>
      <c r="J29" s="490"/>
      <c r="K29" s="17"/>
      <c r="L29" s="379"/>
      <c r="M29" s="455"/>
      <c r="N29" s="1">
        <f>IF(OR(Q29&lt;=0,Q29=""),1,0)</f>
        <v>0</v>
      </c>
      <c r="O29" s="610" t="s">
        <v>214</v>
      </c>
      <c r="P29" s="427" t="s">
        <v>1</v>
      </c>
      <c r="Q29" s="611">
        <v>0.03</v>
      </c>
      <c r="S29" s="454" t="s">
        <v>7</v>
      </c>
      <c r="T29" s="429">
        <f>IF(AND($Q$22&lt;$G$18,$Q$27="Year One"),1,0)</f>
        <v>0</v>
      </c>
      <c r="AB29" s="330"/>
    </row>
    <row r="30" spans="2:28" ht="17" thickBot="1">
      <c r="B30" s="11"/>
      <c r="C30" s="406"/>
      <c r="E30" s="692" t="s">
        <v>400</v>
      </c>
      <c r="F30" s="551" t="str">
        <f>F22</f>
        <v>$/kW</v>
      </c>
      <c r="G30" s="552">
        <f>G29/G7</f>
        <v>7500</v>
      </c>
      <c r="H30" s="365"/>
      <c r="I30" s="13" t="s">
        <v>7</v>
      </c>
      <c r="J30" s="490"/>
      <c r="K30" s="17"/>
      <c r="L30" s="379"/>
      <c r="O30" s="612" t="str">
        <f>IF(OR($Q$27="Year One",$Q$22=$G$18),"","Click Here for Complex Input Worksheet")</f>
        <v/>
      </c>
      <c r="P30" s="613"/>
      <c r="Q30" s="614"/>
      <c r="S30" s="450" t="s">
        <v>7</v>
      </c>
      <c r="T30" s="429">
        <f>IF(AND($Q$22&lt;$G$18,$Q$27="Year-by-Year"),1,0)</f>
        <v>0</v>
      </c>
      <c r="AB30" s="330"/>
    </row>
    <row r="31" spans="2:28" ht="17" thickBot="1">
      <c r="B31" s="11"/>
      <c r="C31" s="407"/>
      <c r="E31" s="20"/>
      <c r="F31" s="12"/>
      <c r="G31" s="12"/>
      <c r="I31" s="19"/>
      <c r="J31" s="490"/>
      <c r="K31" s="17"/>
      <c r="L31" s="379"/>
      <c r="T31" s="247"/>
      <c r="AB31" s="330"/>
    </row>
    <row r="32" spans="2:28" ht="17" thickBot="1">
      <c r="B32" s="11"/>
      <c r="E32" s="5" t="s">
        <v>9</v>
      </c>
      <c r="F32" s="430" t="s">
        <v>287</v>
      </c>
      <c r="G32" s="498" t="s">
        <v>322</v>
      </c>
      <c r="H32" s="366"/>
      <c r="I32" s="19"/>
      <c r="J32" s="490"/>
      <c r="K32" s="17"/>
      <c r="L32" s="379"/>
      <c r="O32" s="5" t="s">
        <v>24</v>
      </c>
      <c r="P32" s="430" t="s">
        <v>287</v>
      </c>
      <c r="Q32" s="498" t="s">
        <v>322</v>
      </c>
      <c r="R32" s="147"/>
      <c r="S32" s="15"/>
      <c r="T32" s="247"/>
      <c r="AB32" s="330"/>
    </row>
    <row r="33" spans="2:28" ht="17" thickBot="1">
      <c r="B33" s="11"/>
      <c r="C33" s="402"/>
      <c r="E33" s="665" t="s">
        <v>8</v>
      </c>
      <c r="F33" s="666"/>
      <c r="G33" s="667" t="s">
        <v>432</v>
      </c>
      <c r="H33" s="362"/>
      <c r="I33" s="13" t="s">
        <v>7</v>
      </c>
      <c r="J33" s="490"/>
      <c r="K33" s="17"/>
      <c r="L33" s="379"/>
      <c r="M33" s="459"/>
      <c r="O33" s="679" t="s">
        <v>422</v>
      </c>
      <c r="P33" s="680"/>
      <c r="Q33" s="681" t="s">
        <v>469</v>
      </c>
      <c r="R33" s="429">
        <f>IF(OR($Q$33="Cost-Based",$Q$33="Neither"),1,IF($Q$33="Performance-Based",2,0))</f>
        <v>2</v>
      </c>
      <c r="S33" s="13" t="s">
        <v>7</v>
      </c>
      <c r="T33" s="452">
        <f>IF(OR($Q$33="Performance-Based",$Q$33="Neither"),1,0)</f>
        <v>1</v>
      </c>
      <c r="AB33" s="330"/>
    </row>
    <row r="34" spans="2:28">
      <c r="B34" s="11"/>
      <c r="C34" s="408"/>
      <c r="E34" s="553" t="s">
        <v>211</v>
      </c>
      <c r="F34" s="554" t="s">
        <v>325</v>
      </c>
      <c r="G34" s="555">
        <v>300</v>
      </c>
      <c r="H34" s="367"/>
      <c r="I34" s="13" t="s">
        <v>7</v>
      </c>
      <c r="J34" s="490"/>
      <c r="K34" s="17"/>
      <c r="L34" s="379"/>
      <c r="M34" s="459"/>
      <c r="O34" s="549" t="s">
        <v>299</v>
      </c>
      <c r="P34" s="7"/>
      <c r="Q34" s="716" t="s">
        <v>487</v>
      </c>
      <c r="R34" s="17"/>
      <c r="S34" s="13" t="s">
        <v>7</v>
      </c>
      <c r="T34" s="17"/>
      <c r="AB34" s="330"/>
    </row>
    <row r="35" spans="2:28">
      <c r="B35" s="11"/>
      <c r="C35" s="455"/>
      <c r="E35" s="549" t="s">
        <v>99</v>
      </c>
      <c r="F35" s="7" t="s">
        <v>100</v>
      </c>
      <c r="G35" s="616">
        <v>3</v>
      </c>
      <c r="H35" s="368"/>
      <c r="I35" s="13" t="s">
        <v>7</v>
      </c>
      <c r="J35" s="490"/>
      <c r="K35" s="17"/>
      <c r="L35" s="379"/>
      <c r="M35" s="459"/>
      <c r="N35" s="1">
        <f>IF(OR(Q35&lt;0,Q35&gt;1,Q35=""),1,0)</f>
        <v>0</v>
      </c>
      <c r="O35" s="8" t="s">
        <v>222</v>
      </c>
      <c r="P35" s="7" t="s">
        <v>1</v>
      </c>
      <c r="Q35" s="770">
        <v>0.3</v>
      </c>
      <c r="R35" s="17"/>
      <c r="S35" s="13" t="s">
        <v>7</v>
      </c>
      <c r="T35" s="17"/>
      <c r="AB35" s="330"/>
    </row>
    <row r="36" spans="2:28">
      <c r="B36" s="11"/>
      <c r="C36" s="409"/>
      <c r="D36" s="17"/>
      <c r="E36" s="575" t="s">
        <v>210</v>
      </c>
      <c r="F36" s="7" t="s">
        <v>1</v>
      </c>
      <c r="G36" s="576">
        <v>0.02</v>
      </c>
      <c r="H36" s="352"/>
      <c r="I36" s="13" t="s">
        <v>7</v>
      </c>
      <c r="J36" s="491"/>
      <c r="K36" s="17"/>
      <c r="L36" s="11"/>
      <c r="N36" s="762">
        <f>IF(OR(Q36&lt;0,Q36&gt;1,Q36=""),1,0)</f>
        <v>0</v>
      </c>
      <c r="O36" s="771" t="s">
        <v>16</v>
      </c>
      <c r="P36" s="772" t="s">
        <v>1</v>
      </c>
      <c r="Q36" s="773">
        <v>1</v>
      </c>
      <c r="AB36" s="330"/>
    </row>
    <row r="37" spans="2:28">
      <c r="B37" s="11"/>
      <c r="C37" s="401"/>
      <c r="E37" s="559" t="s">
        <v>208</v>
      </c>
      <c r="F37" s="7" t="s">
        <v>27</v>
      </c>
      <c r="G37" s="560">
        <v>10</v>
      </c>
      <c r="H37" s="353"/>
      <c r="I37" s="13" t="s">
        <v>7</v>
      </c>
      <c r="J37" s="491"/>
      <c r="K37" s="17"/>
      <c r="L37" s="379"/>
      <c r="O37" s="727" t="s">
        <v>135</v>
      </c>
      <c r="P37" s="7" t="s">
        <v>0</v>
      </c>
      <c r="Q37" s="774">
        <f>IF($G$84="Yes",IF($Q$34="ITC",'Cash Flow'!$C$111*Inputs!$Q$35*Inputs!$Q$36,IF($Q$34="Cash Grant",'Cash Flow'!$C$111*Inputs!$Q$35,0)),0)</f>
        <v>1057500</v>
      </c>
      <c r="R37" s="148"/>
      <c r="S37" s="13" t="s">
        <v>7</v>
      </c>
      <c r="AB37" s="330"/>
    </row>
    <row r="38" spans="2:28" ht="17" thickBot="1">
      <c r="B38" s="11"/>
      <c r="C38" s="409"/>
      <c r="D38" s="17"/>
      <c r="E38" s="561" t="s">
        <v>209</v>
      </c>
      <c r="F38" s="562" t="s">
        <v>1</v>
      </c>
      <c r="G38" s="563">
        <v>0.02</v>
      </c>
      <c r="H38" s="359"/>
      <c r="I38" s="13" t="s">
        <v>7</v>
      </c>
      <c r="J38" s="490"/>
      <c r="K38" s="17"/>
      <c r="L38" s="379"/>
      <c r="M38" s="459"/>
      <c r="O38" s="622" t="s">
        <v>301</v>
      </c>
      <c r="P38" s="748"/>
      <c r="Q38" s="682" t="s">
        <v>470</v>
      </c>
      <c r="S38" s="13" t="s">
        <v>7</v>
      </c>
      <c r="AB38" s="330"/>
    </row>
    <row r="39" spans="2:28">
      <c r="B39" s="11"/>
      <c r="C39" s="455"/>
      <c r="E39" s="622" t="s">
        <v>65</v>
      </c>
      <c r="F39" s="6" t="s">
        <v>1</v>
      </c>
      <c r="G39" s="568">
        <v>4.0000000000000001E-3</v>
      </c>
      <c r="H39" s="352"/>
      <c r="I39" s="450" t="s">
        <v>7</v>
      </c>
      <c r="J39" s="490"/>
      <c r="K39" s="17"/>
      <c r="L39" s="379"/>
      <c r="M39" s="455"/>
      <c r="O39" s="559" t="s">
        <v>139</v>
      </c>
      <c r="P39" s="257" t="s">
        <v>52</v>
      </c>
      <c r="Q39" s="616">
        <v>1.1499999999999999</v>
      </c>
      <c r="R39" s="17"/>
      <c r="S39" s="13" t="s">
        <v>7</v>
      </c>
      <c r="AB39" s="330"/>
    </row>
    <row r="40" spans="2:28">
      <c r="B40" s="11"/>
      <c r="E40" s="559" t="s">
        <v>312</v>
      </c>
      <c r="F40" s="7" t="s">
        <v>0</v>
      </c>
      <c r="G40" s="565">
        <f>$G$39*IF($G$21="Simple",$G$29,IF($G$21="Intermediate",SUM($G$23:$G$26),SUM('Complex Inputs'!$C$116:$C$119)))</f>
        <v>15000</v>
      </c>
      <c r="H40" s="356"/>
      <c r="I40" s="450" t="s">
        <v>7</v>
      </c>
      <c r="J40" s="490"/>
      <c r="K40" s="17"/>
      <c r="L40" s="11"/>
      <c r="N40" s="763">
        <f>IF(OR(Q40&lt;0,Q40&gt;1),1,0)</f>
        <v>0</v>
      </c>
      <c r="O40" s="559" t="s">
        <v>348</v>
      </c>
      <c r="P40" s="6" t="s">
        <v>1</v>
      </c>
      <c r="Q40" s="601">
        <v>1</v>
      </c>
      <c r="T40" s="17"/>
      <c r="AB40" s="330"/>
    </row>
    <row r="41" spans="2:28">
      <c r="B41" s="11"/>
      <c r="C41" s="455"/>
      <c r="E41" s="566" t="s">
        <v>202</v>
      </c>
      <c r="F41" s="6" t="s">
        <v>10</v>
      </c>
      <c r="G41" s="567">
        <v>30000</v>
      </c>
      <c r="H41" s="369"/>
      <c r="I41" s="450" t="s">
        <v>7</v>
      </c>
      <c r="J41" s="491"/>
      <c r="K41" s="17"/>
      <c r="L41" s="379"/>
      <c r="M41" s="455"/>
      <c r="N41" s="1">
        <f>IF(OR(Q41&lt;0,Q41&gt;G18),1,0)</f>
        <v>0</v>
      </c>
      <c r="O41" s="559" t="s">
        <v>32</v>
      </c>
      <c r="P41" s="21" t="s">
        <v>31</v>
      </c>
      <c r="Q41" s="560">
        <v>10</v>
      </c>
      <c r="R41" s="17"/>
      <c r="S41" s="13" t="s">
        <v>7</v>
      </c>
      <c r="AB41" s="330"/>
    </row>
    <row r="42" spans="2:28" ht="17" thickBot="1">
      <c r="B42" s="11"/>
      <c r="C42" s="455"/>
      <c r="E42" s="587" t="s">
        <v>460</v>
      </c>
      <c r="F42" s="453" t="s">
        <v>442</v>
      </c>
      <c r="G42" s="742">
        <v>0</v>
      </c>
      <c r="I42" s="450" t="s">
        <v>7</v>
      </c>
      <c r="J42" s="330"/>
      <c r="K42" s="17"/>
      <c r="L42" s="379"/>
      <c r="M42" s="455"/>
      <c r="O42" s="559" t="s">
        <v>144</v>
      </c>
      <c r="P42" s="6" t="s">
        <v>1</v>
      </c>
      <c r="Q42" s="601">
        <v>0.02</v>
      </c>
      <c r="R42" s="17"/>
      <c r="S42" s="13" t="s">
        <v>7</v>
      </c>
      <c r="T42" s="17"/>
      <c r="AB42" s="330"/>
    </row>
    <row r="43" spans="2:28">
      <c r="B43" s="11"/>
      <c r="C43" s="455"/>
      <c r="E43" s="587" t="s">
        <v>461</v>
      </c>
      <c r="F43" s="453" t="s">
        <v>1</v>
      </c>
      <c r="G43" s="601">
        <v>0.02</v>
      </c>
      <c r="I43" s="450" t="s">
        <v>7</v>
      </c>
      <c r="J43" s="330"/>
      <c r="K43" s="17"/>
      <c r="L43" s="379"/>
      <c r="M43" s="455"/>
      <c r="O43" s="618" t="s">
        <v>421</v>
      </c>
      <c r="P43" s="619" t="s">
        <v>0</v>
      </c>
      <c r="Q43" s="620">
        <v>0</v>
      </c>
      <c r="R43" s="148"/>
      <c r="S43" s="13" t="s">
        <v>7</v>
      </c>
      <c r="T43" s="17"/>
      <c r="AB43" s="330"/>
    </row>
    <row r="44" spans="2:28" ht="17" thickBot="1">
      <c r="B44" s="11"/>
      <c r="C44" s="455"/>
      <c r="E44" s="587" t="s">
        <v>462</v>
      </c>
      <c r="F44" s="453" t="s">
        <v>447</v>
      </c>
      <c r="G44" s="743">
        <v>10000</v>
      </c>
      <c r="I44" s="450" t="s">
        <v>7</v>
      </c>
      <c r="J44" s="330"/>
      <c r="K44" s="17"/>
      <c r="L44" s="379"/>
      <c r="M44" s="459"/>
      <c r="O44" s="569" t="s">
        <v>242</v>
      </c>
      <c r="P44" s="562"/>
      <c r="Q44" s="621" t="s">
        <v>12</v>
      </c>
      <c r="R44" s="24"/>
      <c r="S44" s="13" t="s">
        <v>7</v>
      </c>
      <c r="T44" s="17"/>
      <c r="AB44" s="330"/>
    </row>
    <row r="45" spans="2:28" ht="17" thickBot="1">
      <c r="B45" s="11"/>
      <c r="C45" s="455"/>
      <c r="E45" s="587" t="s">
        <v>449</v>
      </c>
      <c r="F45" s="453" t="s">
        <v>10</v>
      </c>
      <c r="G45" s="742">
        <v>10000</v>
      </c>
      <c r="I45" s="450" t="s">
        <v>7</v>
      </c>
      <c r="J45" s="330"/>
      <c r="K45" s="17"/>
      <c r="L45" s="11"/>
      <c r="AB45" s="330"/>
    </row>
    <row r="46" spans="2:28" ht="17" thickBot="1">
      <c r="B46" s="11"/>
      <c r="C46" s="455"/>
      <c r="E46" s="587" t="s">
        <v>450</v>
      </c>
      <c r="F46" s="453" t="s">
        <v>1</v>
      </c>
      <c r="G46" s="601">
        <v>0.02</v>
      </c>
      <c r="I46" s="450" t="s">
        <v>7</v>
      </c>
      <c r="J46" s="330"/>
      <c r="K46" s="17"/>
      <c r="L46" s="379"/>
      <c r="O46" s="5" t="s">
        <v>418</v>
      </c>
      <c r="P46" s="430" t="s">
        <v>287</v>
      </c>
      <c r="Q46" s="498" t="s">
        <v>322</v>
      </c>
      <c r="R46" s="17"/>
      <c r="AB46" s="330"/>
    </row>
    <row r="47" spans="2:28" ht="17" thickBot="1">
      <c r="B47" s="11"/>
      <c r="C47" s="455"/>
      <c r="E47" s="587" t="s">
        <v>455</v>
      </c>
      <c r="F47" s="453" t="s">
        <v>466</v>
      </c>
      <c r="G47" s="742">
        <v>0</v>
      </c>
      <c r="I47" s="450" t="s">
        <v>7</v>
      </c>
      <c r="J47" s="330"/>
      <c r="K47" s="17"/>
      <c r="L47" s="379"/>
      <c r="M47" s="459"/>
      <c r="O47" s="679" t="s">
        <v>424</v>
      </c>
      <c r="P47" s="680"/>
      <c r="Q47" s="681" t="s">
        <v>469</v>
      </c>
      <c r="S47" s="13" t="s">
        <v>7</v>
      </c>
      <c r="AB47" s="330"/>
    </row>
    <row r="48" spans="2:28">
      <c r="B48" s="11"/>
      <c r="C48" s="455"/>
      <c r="E48" s="587" t="s">
        <v>458</v>
      </c>
      <c r="F48" s="453" t="s">
        <v>1</v>
      </c>
      <c r="G48" s="601">
        <v>0.02</v>
      </c>
      <c r="I48" s="450" t="s">
        <v>7</v>
      </c>
      <c r="J48" s="330"/>
      <c r="K48" s="17"/>
      <c r="L48" s="379"/>
      <c r="M48" s="455"/>
      <c r="N48" s="1">
        <f>IF(OR(Q48&lt;0,Q48&gt;1),1,0)</f>
        <v>0</v>
      </c>
      <c r="O48" s="553" t="s">
        <v>203</v>
      </c>
      <c r="P48" s="547" t="s">
        <v>1</v>
      </c>
      <c r="Q48" s="623">
        <v>0.3</v>
      </c>
      <c r="R48" s="17">
        <f>IF(OR($Q$47="Performance-Based",$Q$47="Neither"),1,0)</f>
        <v>1</v>
      </c>
      <c r="S48" s="13" t="s">
        <v>7</v>
      </c>
      <c r="AB48" s="330"/>
    </row>
    <row r="49" spans="2:28">
      <c r="B49" s="11"/>
      <c r="C49" s="455"/>
      <c r="E49" s="587" t="s">
        <v>456</v>
      </c>
      <c r="F49" s="453" t="s">
        <v>467</v>
      </c>
      <c r="G49" s="743">
        <v>5000000</v>
      </c>
      <c r="I49" s="450" t="s">
        <v>7</v>
      </c>
      <c r="J49" s="330"/>
      <c r="K49" s="17"/>
      <c r="L49" s="11"/>
      <c r="N49" s="763">
        <f>IF(OR(Q49&lt;0,Q49&gt;1),1,0)</f>
        <v>0</v>
      </c>
      <c r="O49" s="765" t="s">
        <v>25</v>
      </c>
      <c r="P49" s="764" t="s">
        <v>1</v>
      </c>
      <c r="Q49" s="767">
        <v>1</v>
      </c>
      <c r="AB49" s="330"/>
    </row>
    <row r="50" spans="2:28">
      <c r="B50" s="11"/>
      <c r="C50" s="455"/>
      <c r="E50" s="559" t="s">
        <v>244</v>
      </c>
      <c r="F50" s="6" t="s">
        <v>10</v>
      </c>
      <c r="G50" s="567">
        <v>0</v>
      </c>
      <c r="H50" s="369"/>
      <c r="I50" s="450" t="s">
        <v>7</v>
      </c>
      <c r="J50" s="490"/>
      <c r="K50" s="17"/>
      <c r="L50" s="379"/>
      <c r="M50" s="455"/>
      <c r="N50" s="1">
        <f>IF(OR(Q50&lt;1,Q50&gt;G18),1,0)</f>
        <v>0</v>
      </c>
      <c r="O50" s="559" t="s">
        <v>30</v>
      </c>
      <c r="P50" s="21" t="s">
        <v>31</v>
      </c>
      <c r="Q50" s="560">
        <v>1</v>
      </c>
      <c r="R50" s="17"/>
      <c r="S50" s="13" t="s">
        <v>7</v>
      </c>
      <c r="T50" s="17"/>
      <c r="AB50" s="330"/>
    </row>
    <row r="51" spans="2:28" ht="17" thickBot="1">
      <c r="B51" s="11"/>
      <c r="C51" s="455"/>
      <c r="E51" s="559" t="s">
        <v>243</v>
      </c>
      <c r="F51" s="6" t="s">
        <v>1</v>
      </c>
      <c r="G51" s="568">
        <v>0</v>
      </c>
      <c r="I51" s="450" t="s">
        <v>7</v>
      </c>
      <c r="J51" s="490"/>
      <c r="K51" s="17"/>
      <c r="L51" s="11"/>
      <c r="O51" s="569" t="s">
        <v>377</v>
      </c>
      <c r="P51" s="624" t="s">
        <v>0</v>
      </c>
      <c r="Q51" s="683">
        <f>IF(AND($G$84="Yes",$Q$47="Cost-Based"),SUM('Cash Flow'!$G$195:$AJ$195),0)</f>
        <v>0</v>
      </c>
      <c r="S51" s="13" t="s">
        <v>7</v>
      </c>
      <c r="AB51" s="330"/>
    </row>
    <row r="52" spans="2:28">
      <c r="B52" s="11"/>
      <c r="C52" s="455"/>
      <c r="E52" s="559" t="s">
        <v>329</v>
      </c>
      <c r="F52" s="6" t="s">
        <v>10</v>
      </c>
      <c r="G52" s="567">
        <v>25000</v>
      </c>
      <c r="H52" s="369"/>
      <c r="I52" s="450" t="s">
        <v>7</v>
      </c>
      <c r="J52" s="490"/>
      <c r="K52" s="17"/>
      <c r="L52" s="379"/>
      <c r="M52" s="459"/>
      <c r="O52" s="622" t="s">
        <v>302</v>
      </c>
      <c r="P52" s="6"/>
      <c r="Q52" s="682" t="s">
        <v>401</v>
      </c>
      <c r="R52" s="17">
        <f>IF(OR($Q$47="Cost-Based",$Q$47="Neither"),1,0)</f>
        <v>0</v>
      </c>
      <c r="S52" s="13" t="s">
        <v>7</v>
      </c>
      <c r="U52" s="449"/>
      <c r="AB52" s="330"/>
    </row>
    <row r="53" spans="2:28">
      <c r="B53" s="11"/>
      <c r="C53" s="455"/>
      <c r="E53" s="549" t="s">
        <v>115</v>
      </c>
      <c r="F53" s="6" t="s">
        <v>1</v>
      </c>
      <c r="G53" s="568">
        <v>0</v>
      </c>
      <c r="H53" s="352"/>
      <c r="I53" s="450" t="s">
        <v>7</v>
      </c>
      <c r="J53" s="490"/>
      <c r="K53" s="17"/>
      <c r="L53" s="11"/>
      <c r="O53" s="559" t="s">
        <v>414</v>
      </c>
      <c r="P53" s="21" t="s">
        <v>0</v>
      </c>
      <c r="Q53" s="705">
        <v>500000</v>
      </c>
      <c r="R53" s="308"/>
      <c r="S53" s="13" t="s">
        <v>7</v>
      </c>
      <c r="T53" s="17"/>
      <c r="AB53" s="330"/>
    </row>
    <row r="54" spans="2:28" ht="17" thickBot="1">
      <c r="B54" s="11"/>
      <c r="E54" s="569" t="s">
        <v>313</v>
      </c>
      <c r="F54" s="562" t="s">
        <v>0</v>
      </c>
      <c r="G54" s="570">
        <f>-'Cash Flow'!G46</f>
        <v>0</v>
      </c>
      <c r="H54" s="356"/>
      <c r="I54" s="450" t="s">
        <v>7</v>
      </c>
      <c r="J54" s="330"/>
      <c r="K54" s="17"/>
      <c r="L54" s="379"/>
      <c r="M54" s="459"/>
      <c r="O54" s="559" t="s">
        <v>425</v>
      </c>
      <c r="P54" s="10"/>
      <c r="Q54" s="615" t="s">
        <v>138</v>
      </c>
      <c r="R54" s="429">
        <f>IF(OR($Q$47="Cost-Based",$Q$47="Neither",$Q$52="Tax Credit"),1,0)</f>
        <v>0</v>
      </c>
      <c r="S54" s="13" t="s">
        <v>7</v>
      </c>
      <c r="AB54" s="330"/>
    </row>
    <row r="55" spans="2:28" ht="17" thickBot="1">
      <c r="B55" s="11"/>
      <c r="C55" s="410"/>
      <c r="E55" s="12"/>
      <c r="F55" s="12"/>
      <c r="G55" s="12"/>
      <c r="I55" s="19"/>
      <c r="J55" s="490"/>
      <c r="K55" s="17"/>
      <c r="L55" s="379"/>
      <c r="M55" s="455"/>
      <c r="O55" s="775" t="s">
        <v>415</v>
      </c>
      <c r="P55" s="257" t="s">
        <v>52</v>
      </c>
      <c r="Q55" s="776">
        <v>1.5</v>
      </c>
      <c r="R55" s="24"/>
      <c r="S55" s="13" t="s">
        <v>7</v>
      </c>
      <c r="U55" s="17"/>
      <c r="AB55" s="330"/>
    </row>
    <row r="56" spans="2:28" ht="17" thickBot="1">
      <c r="B56" s="11"/>
      <c r="C56" s="410"/>
      <c r="E56" s="5" t="s">
        <v>193</v>
      </c>
      <c r="F56" s="430" t="s">
        <v>287</v>
      </c>
      <c r="G56" s="498" t="s">
        <v>322</v>
      </c>
      <c r="H56" s="370"/>
      <c r="I56" s="19"/>
      <c r="J56" s="490"/>
      <c r="K56" s="17"/>
      <c r="L56" s="11"/>
      <c r="N56" s="766">
        <f>IF(OR(Q56&lt;0,Q56&gt;1),1,0)</f>
        <v>0</v>
      </c>
      <c r="O56" s="766" t="s">
        <v>160</v>
      </c>
      <c r="P56" s="772" t="s">
        <v>1</v>
      </c>
      <c r="Q56" s="773">
        <v>1</v>
      </c>
      <c r="T56" s="429"/>
      <c r="U56" s="431"/>
      <c r="AB56" s="330"/>
    </row>
    <row r="57" spans="2:28">
      <c r="B57" s="11"/>
      <c r="C57" s="457"/>
      <c r="E57" s="558" t="s">
        <v>4</v>
      </c>
      <c r="F57" s="547" t="s">
        <v>35</v>
      </c>
      <c r="G57" s="574">
        <v>9</v>
      </c>
      <c r="H57" s="370"/>
      <c r="I57" s="13" t="s">
        <v>7</v>
      </c>
      <c r="J57" s="490"/>
      <c r="K57" s="17"/>
      <c r="L57" s="379"/>
      <c r="M57" s="455"/>
      <c r="N57" s="1">
        <f>IF(OR(Q57&lt;0,Q57&gt;G18),1,0)</f>
        <v>0</v>
      </c>
      <c r="O57" s="559" t="s">
        <v>416</v>
      </c>
      <c r="P57" s="21" t="s">
        <v>31</v>
      </c>
      <c r="Q57" s="560">
        <v>10</v>
      </c>
      <c r="R57" s="24"/>
      <c r="S57" s="13" t="s">
        <v>7</v>
      </c>
      <c r="AB57" s="330"/>
    </row>
    <row r="58" spans="2:28" ht="17" thickBot="1">
      <c r="B58" s="11"/>
      <c r="C58" s="457"/>
      <c r="E58" s="575" t="s">
        <v>34</v>
      </c>
      <c r="F58" s="7" t="s">
        <v>1</v>
      </c>
      <c r="G58" s="576">
        <v>5.5E-2</v>
      </c>
      <c r="H58" s="370"/>
      <c r="I58" s="13" t="s">
        <v>7</v>
      </c>
      <c r="J58" s="490"/>
      <c r="K58" s="17"/>
      <c r="L58" s="379"/>
      <c r="M58" s="455"/>
      <c r="O58" s="559" t="s">
        <v>417</v>
      </c>
      <c r="P58" s="6" t="s">
        <v>1</v>
      </c>
      <c r="Q58" s="601">
        <v>0.02</v>
      </c>
      <c r="R58" s="17"/>
      <c r="S58" s="13" t="s">
        <v>7</v>
      </c>
      <c r="T58" s="429"/>
      <c r="U58" s="381"/>
      <c r="AB58" s="330"/>
    </row>
    <row r="59" spans="2:28" ht="17" thickBot="1">
      <c r="B59" s="11"/>
      <c r="C59" s="410"/>
      <c r="E59" s="561" t="s">
        <v>36</v>
      </c>
      <c r="F59" s="551" t="s">
        <v>0</v>
      </c>
      <c r="G59" s="570">
        <f>IF($G$21="intermediate",SUM(G23:G26)*($G$58/12)*($G$57/2),IF($G$21="complex",'Complex Inputs'!$C$107,0))</f>
        <v>0</v>
      </c>
      <c r="H59" s="370"/>
      <c r="I59" s="13" t="s">
        <v>7</v>
      </c>
      <c r="J59" s="490"/>
      <c r="K59" s="17"/>
      <c r="L59" s="379"/>
      <c r="M59" s="455"/>
      <c r="N59" s="17"/>
      <c r="O59" s="703" t="s">
        <v>423</v>
      </c>
      <c r="P59" s="666" t="s">
        <v>327</v>
      </c>
      <c r="Q59" s="706">
        <v>0</v>
      </c>
      <c r="S59" s="13" t="s">
        <v>7</v>
      </c>
      <c r="U59" s="17"/>
      <c r="AB59" s="330"/>
    </row>
    <row r="60" spans="2:28" ht="17" thickBot="1">
      <c r="B60" s="11"/>
      <c r="G60" s="252"/>
      <c r="H60" s="252"/>
      <c r="I60" s="19"/>
      <c r="J60" s="490"/>
      <c r="K60" s="17"/>
      <c r="L60" s="11"/>
      <c r="O60" s="559" t="s">
        <v>413</v>
      </c>
      <c r="P60" s="21" t="s">
        <v>0</v>
      </c>
      <c r="Q60" s="704">
        <v>500000</v>
      </c>
      <c r="S60" s="13" t="s">
        <v>7</v>
      </c>
      <c r="T60" s="499"/>
      <c r="U60" s="17"/>
      <c r="AB60" s="330"/>
    </row>
    <row r="61" spans="2:28" ht="17" thickBot="1">
      <c r="B61" s="11"/>
      <c r="C61" s="410"/>
      <c r="E61" s="584" t="s">
        <v>33</v>
      </c>
      <c r="F61" s="585" t="s">
        <v>287</v>
      </c>
      <c r="G61" s="586" t="s">
        <v>322</v>
      </c>
      <c r="H61" s="370"/>
      <c r="I61" s="492"/>
      <c r="J61" s="490"/>
      <c r="K61" s="17"/>
      <c r="L61" s="379"/>
      <c r="M61" s="459"/>
      <c r="O61" s="569" t="s">
        <v>241</v>
      </c>
      <c r="P61" s="562"/>
      <c r="Q61" s="621" t="s">
        <v>12</v>
      </c>
      <c r="R61" s="24"/>
      <c r="S61" s="13" t="s">
        <v>7</v>
      </c>
      <c r="U61" s="17"/>
      <c r="AB61" s="330"/>
    </row>
    <row r="62" spans="2:28" ht="17" thickBot="1">
      <c r="B62" s="11"/>
      <c r="C62" s="455"/>
      <c r="D62" s="1">
        <f>IF(OR(G62="",G62&lt;0,G62&gt;1),1,0)</f>
        <v>0</v>
      </c>
      <c r="E62" s="564" t="s">
        <v>245</v>
      </c>
      <c r="F62" s="547" t="s">
        <v>1</v>
      </c>
      <c r="G62" s="577">
        <v>0.55000000000000004</v>
      </c>
      <c r="H62" s="371"/>
      <c r="I62" s="13" t="s">
        <v>7</v>
      </c>
      <c r="J62" s="491"/>
      <c r="K62" s="17"/>
      <c r="L62" s="379"/>
      <c r="T62" s="17"/>
      <c r="U62" s="17"/>
      <c r="AB62" s="330"/>
    </row>
    <row r="63" spans="2:28" ht="17" thickBot="1">
      <c r="B63" s="11"/>
      <c r="C63" s="455"/>
      <c r="D63" s="1">
        <f>IF(OR(G63&lt;=0,G63&gt;G18),1,0)</f>
        <v>0</v>
      </c>
      <c r="E63" s="559" t="s">
        <v>407</v>
      </c>
      <c r="F63" s="7" t="s">
        <v>3</v>
      </c>
      <c r="G63" s="560">
        <v>13</v>
      </c>
      <c r="H63" s="353"/>
      <c r="I63" s="13" t="s">
        <v>7</v>
      </c>
      <c r="J63" s="491"/>
      <c r="K63" s="17"/>
      <c r="L63" s="379"/>
      <c r="M63" s="17"/>
      <c r="N63" s="17"/>
      <c r="O63" s="5" t="s">
        <v>454</v>
      </c>
      <c r="P63" s="26"/>
      <c r="Q63" s="498"/>
      <c r="R63" s="17"/>
      <c r="S63" s="17"/>
      <c r="T63" s="17"/>
      <c r="U63" s="17"/>
      <c r="AB63" s="330"/>
    </row>
    <row r="64" spans="2:28">
      <c r="B64" s="11"/>
      <c r="C64" s="457"/>
      <c r="D64" s="1">
        <f>IF(OR(G64&lt;0,G64=""),1,0)</f>
        <v>0</v>
      </c>
      <c r="E64" s="559" t="s">
        <v>207</v>
      </c>
      <c r="F64" s="7" t="s">
        <v>1</v>
      </c>
      <c r="G64" s="589">
        <v>7.0000000000000007E-2</v>
      </c>
      <c r="H64" s="372"/>
      <c r="I64" s="13" t="s">
        <v>7</v>
      </c>
      <c r="J64" s="491"/>
      <c r="K64" s="17"/>
      <c r="L64" s="379"/>
      <c r="M64" s="460"/>
      <c r="N64" s="17">
        <f>IF(OR(Q64&lt;1,Q64&gt;$G$18),1,0)</f>
        <v>0</v>
      </c>
      <c r="O64" s="558" t="s">
        <v>63</v>
      </c>
      <c r="P64" s="619" t="s">
        <v>27</v>
      </c>
      <c r="Q64" s="668">
        <v>7</v>
      </c>
      <c r="R64" s="17"/>
      <c r="S64" s="13" t="s">
        <v>7</v>
      </c>
      <c r="T64" s="17"/>
      <c r="U64" s="17"/>
      <c r="AB64" s="330"/>
    </row>
    <row r="65" spans="2:28" ht="17" thickBot="1">
      <c r="B65" s="11"/>
      <c r="C65" s="455"/>
      <c r="D65" s="1">
        <f>IF(OR(G65&lt;0,G65=""),1,0)</f>
        <v>0</v>
      </c>
      <c r="E65" s="590" t="s">
        <v>47</v>
      </c>
      <c r="F65" s="562" t="s">
        <v>1</v>
      </c>
      <c r="G65" s="591">
        <v>0.03</v>
      </c>
      <c r="H65" s="352"/>
      <c r="I65" s="13" t="s">
        <v>7</v>
      </c>
      <c r="J65" s="490"/>
      <c r="L65" s="379"/>
      <c r="M65" s="409"/>
      <c r="N65" s="17"/>
      <c r="O65" s="561" t="s">
        <v>253</v>
      </c>
      <c r="P65" s="624" t="str">
        <f>$F$22</f>
        <v>$/kW</v>
      </c>
      <c r="Q65" s="629">
        <v>0</v>
      </c>
      <c r="R65" s="17"/>
      <c r="S65" s="13" t="s">
        <v>7</v>
      </c>
      <c r="T65" s="17"/>
      <c r="AB65" s="330"/>
    </row>
    <row r="66" spans="2:28">
      <c r="B66" s="11"/>
      <c r="C66" s="455"/>
      <c r="E66" s="587" t="s">
        <v>220</v>
      </c>
      <c r="F66" s="453"/>
      <c r="G66" s="588">
        <v>1.2</v>
      </c>
      <c r="H66" s="360"/>
      <c r="I66" s="13" t="s">
        <v>7</v>
      </c>
      <c r="J66" s="490"/>
      <c r="K66" s="17"/>
      <c r="L66" s="379"/>
      <c r="M66" s="460"/>
      <c r="N66" s="17">
        <f>IF(OR(Q66&lt;Q64,Q66&gt;$G$18),1,0)</f>
        <v>0</v>
      </c>
      <c r="O66" s="627" t="s">
        <v>64</v>
      </c>
      <c r="P66" s="28" t="s">
        <v>27</v>
      </c>
      <c r="Q66" s="628">
        <v>14</v>
      </c>
      <c r="R66" s="17"/>
      <c r="S66" s="13" t="s">
        <v>7</v>
      </c>
      <c r="T66" s="17"/>
      <c r="AB66" s="330"/>
    </row>
    <row r="67" spans="2:28" ht="17" thickBot="1">
      <c r="B67" s="11"/>
      <c r="E67" s="579" t="s">
        <v>221</v>
      </c>
      <c r="F67" s="332">
        <f>MAX('Cash Flow'!G54:AJ54)</f>
        <v>13</v>
      </c>
      <c r="G67" s="580">
        <f>ROUND('Cash Flow'!$F$53,2)</f>
        <v>1.1000000000000001</v>
      </c>
      <c r="H67" s="361"/>
      <c r="I67" s="13" t="s">
        <v>7</v>
      </c>
      <c r="J67" s="490"/>
      <c r="L67" s="379"/>
      <c r="M67" s="409"/>
      <c r="N67" s="17"/>
      <c r="O67" s="561" t="s">
        <v>254</v>
      </c>
      <c r="P67" s="624" t="str">
        <f>$F$22</f>
        <v>$/kW</v>
      </c>
      <c r="Q67" s="629">
        <v>0</v>
      </c>
      <c r="R67" s="17"/>
      <c r="S67" s="13" t="s">
        <v>7</v>
      </c>
      <c r="T67" s="17"/>
      <c r="AB67" s="330"/>
    </row>
    <row r="68" spans="2:28">
      <c r="B68" s="11"/>
      <c r="C68" s="455"/>
      <c r="E68" s="579" t="s">
        <v>320</v>
      </c>
      <c r="F68" s="10" t="s">
        <v>190</v>
      </c>
      <c r="G68" s="581" t="str">
        <f>IF($G$67&gt;=$G$66,"Pass","Fail")</f>
        <v>Fail</v>
      </c>
      <c r="H68" s="493"/>
      <c r="I68" s="13" t="s">
        <v>7</v>
      </c>
      <c r="J68" s="491"/>
      <c r="L68" s="379"/>
      <c r="M68" s="460"/>
      <c r="N68" s="17">
        <f>IF(OR(Q68&lt;Q66,Q68&gt;$G$18),1,0)</f>
        <v>0</v>
      </c>
      <c r="O68" s="575" t="s">
        <v>357</v>
      </c>
      <c r="P68" s="21" t="s">
        <v>27</v>
      </c>
      <c r="Q68" s="628">
        <v>15</v>
      </c>
      <c r="R68" s="17"/>
      <c r="S68" s="13" t="s">
        <v>7</v>
      </c>
      <c r="T68" s="17"/>
      <c r="AB68" s="330"/>
    </row>
    <row r="69" spans="2:28" ht="17" thickBot="1">
      <c r="B69" s="11"/>
      <c r="C69" s="455"/>
      <c r="E69" s="579" t="s">
        <v>250</v>
      </c>
      <c r="F69" s="10"/>
      <c r="G69" s="582">
        <v>1.45</v>
      </c>
      <c r="H69" s="360"/>
      <c r="I69" s="13" t="s">
        <v>7</v>
      </c>
      <c r="J69" s="490"/>
      <c r="L69" s="379"/>
      <c r="M69" s="409"/>
      <c r="N69" s="17"/>
      <c r="O69" s="561" t="s">
        <v>358</v>
      </c>
      <c r="P69" s="624" t="str">
        <f>$F$22</f>
        <v>$/kW</v>
      </c>
      <c r="Q69" s="629">
        <v>0</v>
      </c>
      <c r="R69" s="17"/>
      <c r="S69" s="13" t="s">
        <v>7</v>
      </c>
      <c r="U69" s="17"/>
      <c r="AB69" s="330"/>
    </row>
    <row r="70" spans="2:28">
      <c r="B70" s="11"/>
      <c r="E70" s="579" t="s">
        <v>249</v>
      </c>
      <c r="F70" s="332"/>
      <c r="G70" s="580">
        <f>ROUND('Cash Flow'!$E$53,2)</f>
        <v>1.48</v>
      </c>
      <c r="H70" s="361"/>
      <c r="I70" s="13" t="s">
        <v>7</v>
      </c>
      <c r="J70" s="490"/>
      <c r="L70" s="379"/>
      <c r="M70" s="460"/>
      <c r="N70" s="17">
        <f>IF(OR(Q70&lt;Q68,Q70&gt;$G$18),1,0)</f>
        <v>0</v>
      </c>
      <c r="O70" s="575" t="s">
        <v>359</v>
      </c>
      <c r="P70" s="21" t="s">
        <v>27</v>
      </c>
      <c r="Q70" s="628">
        <v>20</v>
      </c>
      <c r="R70" s="17"/>
      <c r="S70" s="13" t="s">
        <v>7</v>
      </c>
      <c r="AB70" s="330"/>
    </row>
    <row r="71" spans="2:28" ht="17" thickBot="1">
      <c r="B71" s="11"/>
      <c r="C71" s="455"/>
      <c r="E71" s="550" t="s">
        <v>321</v>
      </c>
      <c r="F71" s="551" t="s">
        <v>190</v>
      </c>
      <c r="G71" s="583" t="str">
        <f>IF($G$70&gt;=$G$69,"Pass","Fail")</f>
        <v>Pass</v>
      </c>
      <c r="H71" s="493"/>
      <c r="I71" s="13" t="s">
        <v>7</v>
      </c>
      <c r="J71" s="490"/>
      <c r="L71" s="379"/>
      <c r="M71" s="409"/>
      <c r="N71" s="17"/>
      <c r="O71" s="561" t="s">
        <v>360</v>
      </c>
      <c r="P71" s="624" t="str">
        <f>$F$22</f>
        <v>$/kW</v>
      </c>
      <c r="Q71" s="629">
        <v>0</v>
      </c>
      <c r="R71" s="17"/>
      <c r="S71" s="13" t="s">
        <v>7</v>
      </c>
      <c r="U71" s="17"/>
      <c r="AB71" s="330"/>
    </row>
    <row r="72" spans="2:28" ht="17" thickBot="1">
      <c r="B72" s="11"/>
      <c r="E72" s="546" t="s">
        <v>324</v>
      </c>
      <c r="F72" s="547" t="s">
        <v>1</v>
      </c>
      <c r="G72" s="592">
        <f>1-G62</f>
        <v>0.44999999999999996</v>
      </c>
      <c r="H72" s="373"/>
      <c r="I72" s="13" t="s">
        <v>7</v>
      </c>
      <c r="J72" s="490"/>
      <c r="L72" s="379"/>
      <c r="U72" s="470"/>
      <c r="AB72" s="330"/>
    </row>
    <row r="73" spans="2:28" ht="17" thickBot="1">
      <c r="B73" s="11"/>
      <c r="C73" s="455"/>
      <c r="D73" s="1">
        <f>IF(OR(G73&lt;0,G73=""),1,0)</f>
        <v>0</v>
      </c>
      <c r="E73" s="593" t="s">
        <v>267</v>
      </c>
      <c r="F73" s="562" t="s">
        <v>1</v>
      </c>
      <c r="G73" s="578">
        <v>0.12</v>
      </c>
      <c r="H73" s="372"/>
      <c r="I73" s="13" t="s">
        <v>7</v>
      </c>
      <c r="J73" s="490"/>
      <c r="L73" s="379"/>
      <c r="M73" s="17"/>
      <c r="N73" s="17"/>
      <c r="O73" s="5" t="s">
        <v>44</v>
      </c>
      <c r="P73" s="430" t="s">
        <v>287</v>
      </c>
      <c r="Q73" s="498" t="s">
        <v>322</v>
      </c>
      <c r="R73" s="17"/>
      <c r="S73" s="17"/>
      <c r="T73" s="17"/>
      <c r="U73" s="470"/>
      <c r="AB73" s="330"/>
    </row>
    <row r="74" spans="2:28">
      <c r="B74" s="11"/>
      <c r="E74" s="564" t="s">
        <v>306</v>
      </c>
      <c r="F74" s="547" t="s">
        <v>1</v>
      </c>
      <c r="G74" s="594">
        <f>(G73*F79)+(F78*G64*(1-G89))</f>
        <v>7.6897875000000004E-2</v>
      </c>
      <c r="I74" s="13" t="s">
        <v>7</v>
      </c>
      <c r="J74" s="330"/>
      <c r="L74" s="379"/>
      <c r="M74" s="17"/>
      <c r="N74" s="17"/>
      <c r="O74" s="630" t="s">
        <v>43</v>
      </c>
      <c r="P74" s="631"/>
      <c r="Q74" s="632"/>
      <c r="R74" s="17"/>
      <c r="S74" s="17"/>
      <c r="T74" s="17"/>
      <c r="U74" s="463"/>
      <c r="AB74" s="330"/>
    </row>
    <row r="75" spans="2:28" ht="17" thickBot="1">
      <c r="B75" s="11"/>
      <c r="C75" s="455"/>
      <c r="E75" s="590" t="s">
        <v>175</v>
      </c>
      <c r="F75" s="562" t="s">
        <v>0</v>
      </c>
      <c r="G75" s="595">
        <v>0</v>
      </c>
      <c r="H75" s="369"/>
      <c r="I75" s="13" t="s">
        <v>7</v>
      </c>
      <c r="J75" s="330"/>
      <c r="L75" s="379"/>
      <c r="M75" s="459"/>
      <c r="N75" s="17"/>
      <c r="O75" s="633" t="s">
        <v>45</v>
      </c>
      <c r="P75" s="27"/>
      <c r="Q75" s="615" t="s">
        <v>468</v>
      </c>
      <c r="R75" s="17"/>
      <c r="S75" s="13" t="s">
        <v>7</v>
      </c>
      <c r="T75" s="17"/>
      <c r="U75" s="17"/>
      <c r="AB75" s="330"/>
    </row>
    <row r="76" spans="2:28" ht="17" thickBot="1">
      <c r="B76" s="11"/>
      <c r="J76" s="330"/>
      <c r="L76" s="379"/>
      <c r="M76" s="460"/>
      <c r="N76" s="17"/>
      <c r="O76" s="561" t="s">
        <v>46</v>
      </c>
      <c r="P76" s="624" t="s">
        <v>0</v>
      </c>
      <c r="Q76" s="595">
        <v>0</v>
      </c>
      <c r="R76" s="17"/>
      <c r="S76" s="13" t="s">
        <v>7</v>
      </c>
      <c r="T76" s="17"/>
      <c r="U76" s="17"/>
      <c r="AB76" s="330"/>
    </row>
    <row r="77" spans="2:28" ht="17" thickBot="1">
      <c r="B77" s="379"/>
      <c r="E77" s="398" t="s">
        <v>248</v>
      </c>
      <c r="F77" s="26"/>
      <c r="G77" s="399"/>
      <c r="J77" s="330"/>
      <c r="L77" s="379"/>
      <c r="U77" s="17"/>
      <c r="AB77" s="330"/>
    </row>
    <row r="78" spans="2:28" ht="17" thickBot="1">
      <c r="B78" s="379"/>
      <c r="E78" s="564" t="s">
        <v>246</v>
      </c>
      <c r="F78" s="685">
        <f>G78/$G$81</f>
        <v>0.55000000000000004</v>
      </c>
      <c r="G78" s="596">
        <f>'Cash Flow'!F94</f>
        <v>2062500.0000000002</v>
      </c>
      <c r="I78" s="13" t="s">
        <v>7</v>
      </c>
      <c r="J78" s="330"/>
      <c r="L78" s="379"/>
      <c r="M78" s="17"/>
      <c r="N78" s="17"/>
      <c r="O78" s="5" t="s">
        <v>37</v>
      </c>
      <c r="P78" s="430" t="s">
        <v>287</v>
      </c>
      <c r="Q78" s="498" t="s">
        <v>322</v>
      </c>
      <c r="R78" s="17"/>
      <c r="S78" s="17"/>
      <c r="T78" s="17"/>
      <c r="U78" s="17"/>
      <c r="AB78" s="330"/>
    </row>
    <row r="79" spans="2:28">
      <c r="B79" s="379"/>
      <c r="E79" s="559" t="s">
        <v>247</v>
      </c>
      <c r="F79" s="684">
        <f>G79/$G$81</f>
        <v>0.44999999999999996</v>
      </c>
      <c r="G79" s="565">
        <f>-'Cash Flow'!$F$64</f>
        <v>1687499.9999999998</v>
      </c>
      <c r="I79" s="13" t="s">
        <v>7</v>
      </c>
      <c r="J79" s="330"/>
      <c r="L79" s="379"/>
      <c r="M79" s="17"/>
      <c r="N79" s="17"/>
      <c r="O79" s="634" t="s">
        <v>38</v>
      </c>
      <c r="P79" s="625"/>
      <c r="Q79" s="626"/>
      <c r="R79" s="17"/>
      <c r="S79" s="17"/>
      <c r="T79" s="17"/>
      <c r="AB79" s="330"/>
    </row>
    <row r="80" spans="2:28" ht="17" thickBot="1">
      <c r="B80" s="11"/>
      <c r="E80" s="597" t="s">
        <v>310</v>
      </c>
      <c r="F80" s="690">
        <f>G80/$G$81</f>
        <v>0</v>
      </c>
      <c r="G80" s="691">
        <f>IF($Q$44="Yes",$Q$43*(1-$G$85),$Q$43)+IF($Q$61="Yes",IF($Q$60=0,($Q$59*$G$7)*(1-$G$87),MIN($Q$60*(1-$G$87),($Q$59*$G$7)*(1-$G$87))),IF($Q$60=0,$Q$59*$G$7,MIN($Q$60,$Q$59*$G$7)))</f>
        <v>0</v>
      </c>
      <c r="H80" s="358"/>
      <c r="I80" s="13" t="s">
        <v>7</v>
      </c>
      <c r="J80" s="330"/>
      <c r="L80" s="379"/>
      <c r="M80" s="460"/>
      <c r="N80" s="17"/>
      <c r="O80" s="559" t="s">
        <v>42</v>
      </c>
      <c r="P80" s="7" t="s">
        <v>35</v>
      </c>
      <c r="Q80" s="560">
        <v>6</v>
      </c>
      <c r="R80" s="17"/>
      <c r="S80" s="13" t="s">
        <v>7</v>
      </c>
      <c r="T80" s="17"/>
      <c r="U80" s="17"/>
      <c r="AB80" s="330"/>
    </row>
    <row r="81" spans="2:28" ht="18" thickTop="1" thickBot="1">
      <c r="B81" s="379"/>
      <c r="E81" s="598" t="s">
        <v>137</v>
      </c>
      <c r="F81" s="557" t="s">
        <v>0</v>
      </c>
      <c r="G81" s="599">
        <f>SUM(G78:G80)</f>
        <v>3750000</v>
      </c>
      <c r="I81" s="13" t="s">
        <v>7</v>
      </c>
      <c r="J81" s="330"/>
      <c r="L81" s="379"/>
      <c r="M81" s="17"/>
      <c r="N81" s="17"/>
      <c r="O81" s="569" t="s">
        <v>41</v>
      </c>
      <c r="P81" s="562" t="s">
        <v>0</v>
      </c>
      <c r="Q81" s="635">
        <f>-'Cash Flow'!$G$97/12*$Q$80</f>
        <v>123389.93714051534</v>
      </c>
      <c r="R81" s="17"/>
      <c r="S81" s="13" t="s">
        <v>7</v>
      </c>
      <c r="T81" s="17"/>
      <c r="AB81" s="330"/>
    </row>
    <row r="82" spans="2:28" ht="17" thickBot="1">
      <c r="B82" s="11"/>
      <c r="J82" s="330"/>
      <c r="L82" s="379"/>
      <c r="M82" s="17"/>
      <c r="N82" s="17"/>
      <c r="O82" s="634" t="s">
        <v>62</v>
      </c>
      <c r="P82" s="625"/>
      <c r="Q82" s="636"/>
      <c r="R82" s="17"/>
      <c r="S82" s="17"/>
      <c r="T82" s="17"/>
      <c r="AB82" s="330"/>
    </row>
    <row r="83" spans="2:28" ht="17" thickBot="1">
      <c r="B83" s="11"/>
      <c r="E83" s="5" t="s">
        <v>157</v>
      </c>
      <c r="F83" s="430" t="s">
        <v>287</v>
      </c>
      <c r="G83" s="498" t="s">
        <v>322</v>
      </c>
      <c r="H83" s="374"/>
      <c r="I83" s="19"/>
      <c r="J83" s="330"/>
      <c r="L83" s="379"/>
      <c r="M83" s="460"/>
      <c r="N83" s="17"/>
      <c r="O83" s="575" t="s">
        <v>39</v>
      </c>
      <c r="P83" s="7" t="s">
        <v>35</v>
      </c>
      <c r="Q83" s="560">
        <v>6</v>
      </c>
      <c r="R83" s="17"/>
      <c r="S83" s="13" t="s">
        <v>7</v>
      </c>
      <c r="T83" s="17"/>
      <c r="AB83" s="330"/>
    </row>
    <row r="84" spans="2:28" ht="17" thickBot="1">
      <c r="B84" s="11"/>
      <c r="C84" s="458"/>
      <c r="E84" s="533" t="s">
        <v>15</v>
      </c>
      <c r="F84" s="658"/>
      <c r="G84" s="659" t="s">
        <v>12</v>
      </c>
      <c r="H84" s="363"/>
      <c r="I84" s="13" t="s">
        <v>7</v>
      </c>
      <c r="J84" s="330"/>
      <c r="L84" s="379"/>
      <c r="M84" s="17"/>
      <c r="N84" s="17"/>
      <c r="O84" s="561" t="s">
        <v>40</v>
      </c>
      <c r="P84" s="562" t="s">
        <v>0</v>
      </c>
      <c r="Q84" s="635">
        <f>-(AVERAGE('Cash Flow'!G48:AJ48)/12*$Q$83)</f>
        <v>213141.38735006598</v>
      </c>
      <c r="R84" s="17"/>
      <c r="S84" s="13" t="s">
        <v>7</v>
      </c>
      <c r="T84" s="17"/>
      <c r="AB84" s="330"/>
    </row>
    <row r="85" spans="2:28" ht="17" thickBot="1">
      <c r="B85" s="11"/>
      <c r="C85" s="455"/>
      <c r="D85" s="1">
        <f>IF(OR(G85&lt;0,G85=""),1,0)</f>
        <v>0</v>
      </c>
      <c r="E85" s="553" t="s">
        <v>5</v>
      </c>
      <c r="F85" s="547" t="s">
        <v>1</v>
      </c>
      <c r="G85" s="660">
        <v>0.35</v>
      </c>
      <c r="H85" s="352"/>
      <c r="I85" s="13" t="s">
        <v>7</v>
      </c>
      <c r="J85" s="490"/>
      <c r="L85" s="379"/>
      <c r="M85" s="460"/>
      <c r="N85" s="17"/>
      <c r="O85" s="638" t="s">
        <v>148</v>
      </c>
      <c r="P85" s="534" t="s">
        <v>1</v>
      </c>
      <c r="Q85" s="637">
        <v>1.4999999999999999E-2</v>
      </c>
      <c r="R85" s="17"/>
      <c r="S85" s="13" t="s">
        <v>7</v>
      </c>
      <c r="T85" s="17"/>
      <c r="AB85" s="330"/>
    </row>
    <row r="86" spans="2:28" ht="17" thickBot="1">
      <c r="B86" s="11"/>
      <c r="C86" s="458"/>
      <c r="E86" s="617" t="s">
        <v>282</v>
      </c>
      <c r="F86" s="661"/>
      <c r="G86" s="621" t="s">
        <v>309</v>
      </c>
      <c r="H86" s="363"/>
      <c r="I86" s="13" t="s">
        <v>7</v>
      </c>
      <c r="J86" s="330"/>
      <c r="L86" s="11"/>
      <c r="AB86" s="330"/>
    </row>
    <row r="87" spans="2:28" ht="17" thickBot="1">
      <c r="B87" s="11"/>
      <c r="C87" s="455"/>
      <c r="D87" s="1">
        <f>IF(OR(G87&lt;0,G87=""),1,0)</f>
        <v>0</v>
      </c>
      <c r="E87" s="553" t="s">
        <v>6</v>
      </c>
      <c r="F87" s="547" t="s">
        <v>1</v>
      </c>
      <c r="G87" s="660">
        <v>8.5000000000000006E-2</v>
      </c>
      <c r="H87" s="352"/>
      <c r="I87" s="13" t="s">
        <v>7</v>
      </c>
      <c r="J87" s="490"/>
      <c r="L87" s="11"/>
      <c r="M87" s="17"/>
      <c r="N87" s="17"/>
      <c r="O87" s="432" t="s">
        <v>94</v>
      </c>
      <c r="P87" s="528" t="s">
        <v>323</v>
      </c>
      <c r="Q87" s="528"/>
      <c r="R87" s="528"/>
      <c r="S87" s="528"/>
      <c r="T87" s="528"/>
      <c r="U87" s="528"/>
      <c r="V87" s="528"/>
      <c r="W87" s="528"/>
      <c r="X87" s="528"/>
      <c r="Y87" s="528"/>
      <c r="Z87" s="399"/>
      <c r="AB87" s="330"/>
    </row>
    <row r="88" spans="2:28" ht="17" thickBot="1">
      <c r="B88" s="11"/>
      <c r="C88" s="458"/>
      <c r="E88" s="617" t="s">
        <v>283</v>
      </c>
      <c r="F88" s="661"/>
      <c r="G88" s="621" t="s">
        <v>309</v>
      </c>
      <c r="H88" s="363"/>
      <c r="I88" s="13" t="s">
        <v>7</v>
      </c>
      <c r="J88" s="490"/>
      <c r="L88" s="11"/>
      <c r="M88" s="458"/>
      <c r="N88" s="17"/>
      <c r="O88" s="618" t="s">
        <v>331</v>
      </c>
      <c r="P88" s="600" t="s">
        <v>138</v>
      </c>
      <c r="S88" s="506" t="s">
        <v>7</v>
      </c>
      <c r="Z88" s="330"/>
      <c r="AB88" s="330"/>
    </row>
    <row r="89" spans="2:28" ht="17" thickBot="1">
      <c r="B89" s="11"/>
      <c r="E89" s="662" t="s">
        <v>29</v>
      </c>
      <c r="F89" s="663" t="s">
        <v>1</v>
      </c>
      <c r="G89" s="664">
        <f>IF($G$84="Yes",$G$85+(G87*(1-$G$85)),0%)</f>
        <v>0.40525</v>
      </c>
      <c r="H89" s="376"/>
      <c r="I89" s="13" t="s">
        <v>7</v>
      </c>
      <c r="J89" s="490"/>
      <c r="L89" s="11"/>
      <c r="M89" s="460"/>
      <c r="O89" s="569" t="s">
        <v>332</v>
      </c>
      <c r="P89" s="639">
        <v>0.5</v>
      </c>
      <c r="S89" s="13" t="s">
        <v>7</v>
      </c>
      <c r="Z89" s="330"/>
      <c r="AB89" s="330"/>
    </row>
    <row r="90" spans="2:28" ht="17" thickBot="1">
      <c r="B90" s="11"/>
      <c r="E90" s="569" t="s">
        <v>94</v>
      </c>
      <c r="F90" s="602"/>
      <c r="G90" s="603" t="s">
        <v>101</v>
      </c>
      <c r="H90" s="487"/>
      <c r="I90" s="13" t="s">
        <v>7</v>
      </c>
      <c r="J90" s="330"/>
      <c r="L90" s="11"/>
      <c r="O90" s="377"/>
      <c r="P90" s="91"/>
      <c r="Q90" s="91"/>
      <c r="R90" s="91"/>
      <c r="S90" s="91"/>
      <c r="T90" s="91"/>
      <c r="U90" s="91"/>
      <c r="V90" s="91"/>
      <c r="W90" s="91"/>
      <c r="X90" s="91"/>
      <c r="Y90" s="91"/>
      <c r="Z90" s="387"/>
      <c r="AB90" s="330"/>
    </row>
    <row r="91" spans="2:28" ht="17" thickBot="1">
      <c r="B91" s="377"/>
      <c r="C91" s="91"/>
      <c r="D91" s="91"/>
      <c r="E91" s="91"/>
      <c r="F91" s="91"/>
      <c r="G91" s="91"/>
      <c r="H91" s="91"/>
      <c r="I91" s="91"/>
      <c r="J91" s="387"/>
      <c r="L91" s="11"/>
      <c r="M91" s="17"/>
      <c r="N91" s="17"/>
      <c r="O91" s="640" t="s">
        <v>333</v>
      </c>
      <c r="P91" s="641" t="s">
        <v>19</v>
      </c>
      <c r="Q91" s="757" t="s">
        <v>130</v>
      </c>
      <c r="R91" s="786" t="s">
        <v>20</v>
      </c>
      <c r="S91" s="787"/>
      <c r="T91" s="788"/>
      <c r="U91" s="641" t="s">
        <v>131</v>
      </c>
      <c r="V91" s="641" t="s">
        <v>132</v>
      </c>
      <c r="W91" s="641" t="s">
        <v>21</v>
      </c>
      <c r="X91" s="641" t="s">
        <v>22</v>
      </c>
      <c r="Y91" s="641" t="s">
        <v>133</v>
      </c>
      <c r="Z91" s="642" t="s">
        <v>23</v>
      </c>
      <c r="AB91" s="330"/>
    </row>
    <row r="92" spans="2:28" ht="17" thickBot="1">
      <c r="L92" s="11">
        <f>IF(AND($G$84="Yes",$G$21="Simple"),1,0)</f>
        <v>1</v>
      </c>
      <c r="M92" s="17"/>
      <c r="N92" s="308">
        <f>IF(AND($G$21="Simple",SUM(P92:Z92)=1),1,IF(AND($G$21="Simple",SUM(P92:Z92)&lt;&gt;1),2,0))</f>
        <v>1</v>
      </c>
      <c r="O92" s="643" t="str">
        <f t="shared" ref="O92:O97" si="0">E22</f>
        <v>Total Installed Cost</v>
      </c>
      <c r="P92" s="644">
        <v>0.94</v>
      </c>
      <c r="Q92" s="758">
        <v>0</v>
      </c>
      <c r="R92" s="789">
        <v>1.4999999999999999E-2</v>
      </c>
      <c r="S92" s="790"/>
      <c r="T92" s="791"/>
      <c r="U92" s="644">
        <v>0.01</v>
      </c>
      <c r="V92" s="644">
        <v>0</v>
      </c>
      <c r="W92" s="644">
        <v>0</v>
      </c>
      <c r="X92" s="644">
        <v>0.01</v>
      </c>
      <c r="Y92" s="644">
        <v>0</v>
      </c>
      <c r="Z92" s="645">
        <v>2.5000000000000001E-2</v>
      </c>
      <c r="AB92" s="375" t="s">
        <v>7</v>
      </c>
    </row>
    <row r="93" spans="2:28">
      <c r="L93" s="11">
        <f>IF(AND($G$84="Yes",$G$21="Intermediate"),1,0)</f>
        <v>0</v>
      </c>
      <c r="M93" s="17"/>
      <c r="N93" s="308">
        <f>IF(AND($G$21="Intermediate",SUM(P93:Z93)=1),1,IF(AND($G$21="Intermediate",SUM(P93:Z93)&lt;&gt;1),2,0))</f>
        <v>0</v>
      </c>
      <c r="O93" s="646" t="str">
        <f t="shared" si="0"/>
        <v>Generation Equipment</v>
      </c>
      <c r="P93" s="647">
        <v>0.96</v>
      </c>
      <c r="Q93" s="759">
        <v>0</v>
      </c>
      <c r="R93" s="792">
        <v>0.02</v>
      </c>
      <c r="S93" s="793"/>
      <c r="T93" s="794"/>
      <c r="U93" s="647">
        <v>0</v>
      </c>
      <c r="V93" s="647">
        <v>0</v>
      </c>
      <c r="W93" s="647">
        <v>0</v>
      </c>
      <c r="X93" s="647">
        <v>0.02</v>
      </c>
      <c r="Y93" s="647">
        <v>0</v>
      </c>
      <c r="Z93" s="648">
        <v>0</v>
      </c>
      <c r="AB93" s="375" t="s">
        <v>7</v>
      </c>
    </row>
    <row r="94" spans="2:28">
      <c r="L94" s="11">
        <f>IF(AND($G$84="Yes",$G$21="Intermediate"),1,0)</f>
        <v>0</v>
      </c>
      <c r="M94" s="17"/>
      <c r="N94" s="308">
        <f>IF(AND($G$21="Intermediate",SUM(P94:Z94)=1),1,IF(AND($G$21="Intermediate",SUM(P94:Z94)&lt;&gt;1),2,0))</f>
        <v>0</v>
      </c>
      <c r="O94" s="649" t="str">
        <f t="shared" si="0"/>
        <v>Balance of Plant</v>
      </c>
      <c r="P94" s="451">
        <v>0.75</v>
      </c>
      <c r="Q94" s="755">
        <v>0</v>
      </c>
      <c r="R94" s="777">
        <v>0</v>
      </c>
      <c r="S94" s="778"/>
      <c r="T94" s="779"/>
      <c r="U94" s="451">
        <v>0</v>
      </c>
      <c r="V94" s="451">
        <v>0</v>
      </c>
      <c r="W94" s="451">
        <v>0.25</v>
      </c>
      <c r="X94" s="451">
        <v>0</v>
      </c>
      <c r="Y94" s="451">
        <v>0</v>
      </c>
      <c r="Z94" s="650">
        <v>0</v>
      </c>
      <c r="AB94" s="375" t="s">
        <v>7</v>
      </c>
    </row>
    <row r="95" spans="2:28">
      <c r="L95" s="11">
        <f>IF(AND($G$84="Yes",$G$21="Intermediate"),1,0)</f>
        <v>0</v>
      </c>
      <c r="M95" s="17"/>
      <c r="N95" s="308">
        <f>IF(AND($G$21="Intermediate",SUM(P95:Z95)=1),1,IF(AND($G$21="Intermediate",SUM(P95:Z95)&lt;&gt;1),2,0))</f>
        <v>0</v>
      </c>
      <c r="O95" s="649" t="str">
        <f t="shared" si="0"/>
        <v>Interconnection</v>
      </c>
      <c r="P95" s="451">
        <v>0</v>
      </c>
      <c r="Q95" s="755">
        <v>0</v>
      </c>
      <c r="R95" s="777">
        <v>1</v>
      </c>
      <c r="S95" s="778"/>
      <c r="T95" s="779"/>
      <c r="U95" s="451">
        <v>0</v>
      </c>
      <c r="V95" s="451">
        <v>0</v>
      </c>
      <c r="W95" s="451">
        <v>0</v>
      </c>
      <c r="X95" s="451">
        <v>0</v>
      </c>
      <c r="Y95" s="451">
        <v>0</v>
      </c>
      <c r="Z95" s="650">
        <v>0</v>
      </c>
      <c r="AB95" s="375" t="s">
        <v>7</v>
      </c>
    </row>
    <row r="96" spans="2:28">
      <c r="L96" s="11">
        <f>IF(AND($G$84="Yes",$G$21="Intermediate"),1,0)</f>
        <v>0</v>
      </c>
      <c r="M96" s="17"/>
      <c r="N96" s="308">
        <f>IF(AND($G$21="Intermediate",SUM(P96:Z96)=1),1,IF(AND($G$21="Intermediate",SUM(P96:Z96)&lt;&gt;1),2,0))</f>
        <v>0</v>
      </c>
      <c r="O96" s="649" t="str">
        <f t="shared" si="0"/>
        <v>Development Costs &amp; Fee</v>
      </c>
      <c r="P96" s="451">
        <v>0.8</v>
      </c>
      <c r="Q96" s="755">
        <v>0</v>
      </c>
      <c r="R96" s="777">
        <v>0</v>
      </c>
      <c r="S96" s="778"/>
      <c r="T96" s="779"/>
      <c r="U96" s="451">
        <v>0</v>
      </c>
      <c r="V96" s="451">
        <v>0</v>
      </c>
      <c r="W96" s="451">
        <v>0.05</v>
      </c>
      <c r="X96" s="451">
        <v>0.05</v>
      </c>
      <c r="Y96" s="451">
        <v>0</v>
      </c>
      <c r="Z96" s="650">
        <v>0.1</v>
      </c>
      <c r="AB96" s="375" t="s">
        <v>7</v>
      </c>
    </row>
    <row r="97" spans="1:29" ht="17" thickBot="1">
      <c r="L97" s="11">
        <f>IF(AND($G$84="Yes",$G$21="Intermediate"),1,0)</f>
        <v>0</v>
      </c>
      <c r="M97" s="17"/>
      <c r="N97" s="308">
        <f>IF(AND($G$21="Intermediate",SUM(P97:Z97)=1),1,IF(AND($G$21="Intermediate",SUM(P97:Z97)&lt;&gt;1),2,0))</f>
        <v>0</v>
      </c>
      <c r="O97" s="651" t="str">
        <f t="shared" si="0"/>
        <v>Reserves &amp; Financing Costs</v>
      </c>
      <c r="P97" s="652">
        <v>0</v>
      </c>
      <c r="Q97" s="756">
        <v>0</v>
      </c>
      <c r="R97" s="780">
        <v>0</v>
      </c>
      <c r="S97" s="781"/>
      <c r="T97" s="782"/>
      <c r="U97" s="652">
        <v>0</v>
      </c>
      <c r="V97" s="652">
        <v>0</v>
      </c>
      <c r="W97" s="652">
        <v>0</v>
      </c>
      <c r="X97" s="652">
        <v>0.5</v>
      </c>
      <c r="Y97" s="652">
        <v>0</v>
      </c>
      <c r="Z97" s="653">
        <v>0.5</v>
      </c>
      <c r="AB97" s="375" t="s">
        <v>7</v>
      </c>
    </row>
    <row r="98" spans="1:29" ht="17" thickBot="1">
      <c r="L98" s="377">
        <f>IF(AND($G$84="Yes",$G$21="Complex"),1,0)</f>
        <v>0</v>
      </c>
      <c r="M98" s="388"/>
      <c r="N98" s="388"/>
      <c r="O98" s="654" t="s">
        <v>307</v>
      </c>
      <c r="P98" s="655"/>
      <c r="Q98" s="656"/>
      <c r="R98" s="783"/>
      <c r="S98" s="784"/>
      <c r="T98" s="785"/>
      <c r="U98" s="655"/>
      <c r="V98" s="655"/>
      <c r="W98" s="655"/>
      <c r="X98" s="655"/>
      <c r="Y98" s="655"/>
      <c r="Z98" s="657"/>
      <c r="AA98" s="91"/>
      <c r="AB98" s="508" t="s">
        <v>7</v>
      </c>
    </row>
    <row r="99" spans="1:29" ht="17" thickBot="1">
      <c r="M99" s="17"/>
      <c r="N99" s="17"/>
      <c r="O99" s="768"/>
      <c r="P99" s="769"/>
      <c r="Q99" s="769"/>
      <c r="R99" s="17"/>
      <c r="S99" s="17"/>
      <c r="T99" s="17"/>
      <c r="U99" s="769"/>
      <c r="V99" s="769"/>
      <c r="W99" s="769"/>
      <c r="X99" s="769"/>
      <c r="Y99" s="769"/>
      <c r="Z99" s="769"/>
      <c r="AB99" s="738"/>
    </row>
    <row r="100" spans="1:29">
      <c r="B100" s="435"/>
      <c r="C100" s="436"/>
      <c r="D100" s="436"/>
      <c r="E100" s="446" t="s">
        <v>288</v>
      </c>
      <c r="F100" s="436"/>
      <c r="G100" s="436"/>
      <c r="H100" s="436"/>
      <c r="I100" s="436"/>
      <c r="J100" s="436"/>
      <c r="K100" s="436"/>
      <c r="L100" s="436"/>
      <c r="M100" s="437"/>
      <c r="N100" s="437"/>
      <c r="O100" s="437"/>
      <c r="P100" s="437"/>
      <c r="Q100" s="437"/>
      <c r="R100" s="437"/>
      <c r="S100" s="437"/>
      <c r="T100" s="437"/>
      <c r="U100" s="437"/>
      <c r="V100" s="437"/>
      <c r="W100" s="437"/>
      <c r="X100" s="437"/>
      <c r="Y100" s="437"/>
      <c r="Z100" s="437"/>
      <c r="AA100" s="437"/>
      <c r="AB100" s="754"/>
    </row>
    <row r="101" spans="1:29">
      <c r="B101" s="438"/>
      <c r="C101" s="433"/>
      <c r="D101" s="433"/>
      <c r="E101" s="439" t="s">
        <v>290</v>
      </c>
      <c r="F101" s="433"/>
      <c r="G101" s="433"/>
      <c r="H101" s="433"/>
      <c r="I101" s="433"/>
      <c r="J101" s="433"/>
      <c r="K101" s="433"/>
      <c r="L101" s="433"/>
      <c r="M101" s="434"/>
      <c r="N101" s="434"/>
      <c r="O101" s="434"/>
      <c r="P101" s="434"/>
      <c r="Q101" s="434"/>
      <c r="R101" s="434"/>
      <c r="S101" s="434"/>
      <c r="T101" s="434"/>
      <c r="U101" s="434"/>
      <c r="V101" s="433"/>
      <c r="W101" s="433"/>
      <c r="X101" s="433"/>
      <c r="Y101" s="433"/>
      <c r="Z101" s="433"/>
      <c r="AA101" s="433"/>
      <c r="AB101" s="440"/>
    </row>
    <row r="102" spans="1:29">
      <c r="B102" s="438"/>
      <c r="C102" s="433"/>
      <c r="D102" s="433"/>
      <c r="E102" s="439" t="s">
        <v>291</v>
      </c>
      <c r="F102" s="433"/>
      <c r="G102" s="433"/>
      <c r="H102" s="433"/>
      <c r="I102" s="433"/>
      <c r="J102" s="433"/>
      <c r="K102" s="433"/>
      <c r="L102" s="433"/>
      <c r="M102" s="434"/>
      <c r="N102" s="434"/>
      <c r="O102" s="434"/>
      <c r="P102" s="434"/>
      <c r="Q102" s="434"/>
      <c r="R102" s="434"/>
      <c r="S102" s="434"/>
      <c r="T102" s="434"/>
      <c r="U102" s="434"/>
      <c r="V102" s="433"/>
      <c r="W102" s="433"/>
      <c r="X102" s="433"/>
      <c r="Y102" s="433"/>
      <c r="Z102" s="433"/>
      <c r="AA102" s="433"/>
      <c r="AB102" s="440"/>
    </row>
    <row r="103" spans="1:29">
      <c r="B103" s="438"/>
      <c r="C103" s="433"/>
      <c r="D103" s="433"/>
      <c r="E103" s="439" t="s">
        <v>304</v>
      </c>
      <c r="F103" s="433"/>
      <c r="G103" s="433"/>
      <c r="H103" s="433"/>
      <c r="I103" s="433"/>
      <c r="J103" s="433"/>
      <c r="K103" s="433"/>
      <c r="L103" s="433"/>
      <c r="M103" s="434"/>
      <c r="N103" s="434"/>
      <c r="O103" s="434"/>
      <c r="P103" s="434"/>
      <c r="Q103" s="434"/>
      <c r="R103" s="434"/>
      <c r="S103" s="434"/>
      <c r="T103" s="434"/>
      <c r="U103" s="434"/>
      <c r="V103" s="433"/>
      <c r="W103" s="433"/>
      <c r="X103" s="433"/>
      <c r="Y103" s="433"/>
      <c r="Z103" s="433"/>
      <c r="AA103" s="433"/>
      <c r="AB103" s="440"/>
    </row>
    <row r="104" spans="1:29">
      <c r="B104" s="438"/>
      <c r="C104" s="433"/>
      <c r="D104" s="433"/>
      <c r="E104" s="439" t="s">
        <v>305</v>
      </c>
      <c r="F104" s="433"/>
      <c r="G104" s="433"/>
      <c r="H104" s="433"/>
      <c r="I104" s="433"/>
      <c r="J104" s="433"/>
      <c r="K104" s="433"/>
      <c r="L104" s="433"/>
      <c r="M104" s="434"/>
      <c r="N104" s="434"/>
      <c r="O104" s="434"/>
      <c r="P104" s="434"/>
      <c r="Q104" s="434"/>
      <c r="R104" s="434"/>
      <c r="S104" s="434"/>
      <c r="T104" s="434"/>
      <c r="U104" s="434"/>
      <c r="V104" s="433"/>
      <c r="W104" s="433"/>
      <c r="X104" s="433"/>
      <c r="Y104" s="433"/>
      <c r="Z104" s="433"/>
      <c r="AA104" s="433"/>
      <c r="AB104" s="440"/>
    </row>
    <row r="105" spans="1:29">
      <c r="B105" s="438"/>
      <c r="C105" s="433"/>
      <c r="D105" s="433"/>
      <c r="E105" s="439" t="s">
        <v>292</v>
      </c>
      <c r="F105" s="433"/>
      <c r="G105" s="433"/>
      <c r="H105" s="433"/>
      <c r="I105" s="433"/>
      <c r="J105" s="433"/>
      <c r="K105" s="433"/>
      <c r="L105" s="433"/>
      <c r="M105" s="434"/>
      <c r="N105" s="434"/>
      <c r="O105" s="434"/>
      <c r="P105" s="434"/>
      <c r="Q105" s="434"/>
      <c r="R105" s="434"/>
      <c r="S105" s="434"/>
      <c r="T105" s="434"/>
      <c r="U105" s="434"/>
      <c r="V105" s="433"/>
      <c r="W105" s="433"/>
      <c r="X105" s="433"/>
      <c r="Y105" s="433"/>
      <c r="Z105" s="433"/>
      <c r="AA105" s="433"/>
      <c r="AB105" s="440"/>
    </row>
    <row r="106" spans="1:29">
      <c r="B106" s="438"/>
      <c r="C106" s="433"/>
      <c r="D106" s="433"/>
      <c r="E106" s="439" t="s">
        <v>293</v>
      </c>
      <c r="F106" s="433"/>
      <c r="G106" s="433"/>
      <c r="H106" s="433"/>
      <c r="I106" s="433"/>
      <c r="J106" s="433"/>
      <c r="K106" s="433"/>
      <c r="L106" s="433"/>
      <c r="M106" s="434"/>
      <c r="N106" s="434"/>
      <c r="O106" s="434"/>
      <c r="P106" s="434"/>
      <c r="Q106" s="434"/>
      <c r="R106" s="434"/>
      <c r="S106" s="434"/>
      <c r="T106" s="434"/>
      <c r="U106" s="434"/>
      <c r="V106" s="433"/>
      <c r="W106" s="433"/>
      <c r="X106" s="433"/>
      <c r="Y106" s="433"/>
      <c r="Z106" s="433"/>
      <c r="AA106" s="433"/>
      <c r="AB106" s="440"/>
    </row>
    <row r="107" spans="1:29">
      <c r="B107" s="438"/>
      <c r="C107" s="433"/>
      <c r="D107" s="433"/>
      <c r="E107" s="439" t="s">
        <v>294</v>
      </c>
      <c r="F107" s="433"/>
      <c r="G107" s="433"/>
      <c r="H107" s="433"/>
      <c r="I107" s="433"/>
      <c r="J107" s="433"/>
      <c r="K107" s="434"/>
      <c r="L107" s="434"/>
      <c r="M107" s="434"/>
      <c r="N107" s="434"/>
      <c r="O107" s="434"/>
      <c r="P107" s="434"/>
      <c r="Q107" s="434"/>
      <c r="R107" s="434"/>
      <c r="S107" s="434"/>
      <c r="T107" s="434"/>
      <c r="U107" s="434"/>
      <c r="V107" s="433"/>
      <c r="W107" s="433"/>
      <c r="X107" s="433"/>
      <c r="Y107" s="433"/>
      <c r="Z107" s="433"/>
      <c r="AA107" s="433"/>
      <c r="AB107" s="440"/>
    </row>
    <row r="108" spans="1:29" s="672" customFormat="1">
      <c r="B108" s="438"/>
      <c r="C108" s="433"/>
      <c r="D108" s="433"/>
      <c r="E108" s="439" t="s">
        <v>295</v>
      </c>
      <c r="F108" s="433"/>
      <c r="G108" s="433"/>
      <c r="H108" s="433"/>
      <c r="I108" s="433"/>
      <c r="J108" s="433"/>
      <c r="K108" s="434"/>
      <c r="L108" s="434"/>
      <c r="M108" s="434"/>
      <c r="N108" s="434"/>
      <c r="O108" s="434"/>
      <c r="P108" s="434"/>
      <c r="Q108" s="434"/>
      <c r="R108" s="434"/>
      <c r="S108" s="434"/>
      <c r="T108" s="434"/>
      <c r="U108" s="434"/>
      <c r="V108" s="433"/>
      <c r="W108" s="433"/>
      <c r="X108" s="433"/>
      <c r="Y108" s="433"/>
      <c r="Z108" s="433"/>
      <c r="AA108" s="433"/>
      <c r="AB108" s="440"/>
    </row>
    <row r="109" spans="1:29">
      <c r="A109" s="672"/>
      <c r="B109" s="438"/>
      <c r="C109" s="433"/>
      <c r="D109" s="433"/>
      <c r="E109" s="439" t="s">
        <v>296</v>
      </c>
      <c r="F109" s="433"/>
      <c r="G109" s="433"/>
      <c r="H109" s="433"/>
      <c r="I109" s="433"/>
      <c r="J109" s="433"/>
      <c r="K109" s="434"/>
      <c r="L109" s="434"/>
      <c r="M109" s="434"/>
      <c r="N109" s="434"/>
      <c r="O109" s="434"/>
      <c r="P109" s="434"/>
      <c r="Q109" s="434"/>
      <c r="R109" s="434"/>
      <c r="S109" s="434"/>
      <c r="T109" s="434"/>
      <c r="U109" s="434"/>
      <c r="V109" s="433"/>
      <c r="W109" s="433"/>
      <c r="X109" s="433"/>
      <c r="Y109" s="433"/>
      <c r="Z109" s="433"/>
      <c r="AA109" s="433"/>
      <c r="AB109" s="440"/>
      <c r="AC109" s="672"/>
    </row>
    <row r="110" spans="1:29" ht="17" thickBot="1">
      <c r="A110" s="672"/>
      <c r="B110" s="441"/>
      <c r="C110" s="442"/>
      <c r="D110" s="442"/>
      <c r="E110" s="443" t="s">
        <v>289</v>
      </c>
      <c r="F110" s="442"/>
      <c r="G110" s="442"/>
      <c r="H110" s="442"/>
      <c r="I110" s="442"/>
      <c r="J110" s="442"/>
      <c r="K110" s="444"/>
      <c r="L110" s="444"/>
      <c r="M110" s="444"/>
      <c r="N110" s="444"/>
      <c r="O110" s="444"/>
      <c r="P110" s="444"/>
      <c r="Q110" s="444"/>
      <c r="R110" s="444"/>
      <c r="S110" s="444"/>
      <c r="T110" s="444"/>
      <c r="U110" s="444"/>
      <c r="V110" s="442"/>
      <c r="W110" s="442"/>
      <c r="X110" s="442"/>
      <c r="Y110" s="442"/>
      <c r="Z110" s="442"/>
      <c r="AA110" s="442"/>
      <c r="AB110" s="445"/>
      <c r="AC110" s="672"/>
    </row>
    <row r="111" spans="1:29">
      <c r="A111" s="672"/>
      <c r="B111" s="672"/>
      <c r="C111" s="672"/>
      <c r="D111" s="672"/>
      <c r="E111" s="675"/>
      <c r="F111" s="672"/>
      <c r="G111" s="676"/>
      <c r="H111" s="672"/>
      <c r="I111" s="672"/>
      <c r="J111" s="672"/>
      <c r="K111" s="672"/>
      <c r="L111" s="672"/>
      <c r="M111" s="677"/>
      <c r="N111" s="672"/>
      <c r="O111" s="672"/>
      <c r="P111" s="672"/>
      <c r="Q111" s="672"/>
      <c r="R111" s="672"/>
      <c r="S111" s="672"/>
      <c r="T111" s="672"/>
      <c r="U111" s="672"/>
      <c r="V111" s="672"/>
      <c r="W111" s="672"/>
      <c r="X111" s="672"/>
      <c r="Y111" s="672"/>
      <c r="Z111" s="672"/>
      <c r="AA111" s="672"/>
      <c r="AB111" s="672"/>
      <c r="AC111" s="672"/>
    </row>
    <row r="112" spans="1:29">
      <c r="A112" s="672"/>
      <c r="B112" s="672"/>
      <c r="C112" s="672"/>
      <c r="D112" s="672"/>
      <c r="E112" s="675"/>
      <c r="F112" s="672"/>
      <c r="G112" s="676"/>
      <c r="H112" s="672"/>
      <c r="I112" s="672"/>
      <c r="V112" s="672"/>
      <c r="W112" s="672"/>
      <c r="X112" s="672"/>
      <c r="Y112" s="672"/>
      <c r="Z112" s="672"/>
      <c r="AA112" s="672"/>
      <c r="AB112" s="672"/>
      <c r="AC112" s="672"/>
    </row>
    <row r="113" spans="1:29">
      <c r="A113" s="672"/>
      <c r="B113" s="672"/>
      <c r="C113" s="672"/>
      <c r="D113" s="672"/>
      <c r="E113" s="675"/>
      <c r="F113" s="672"/>
      <c r="G113" s="676"/>
      <c r="H113" s="672"/>
      <c r="I113" s="672"/>
      <c r="V113" s="672"/>
      <c r="W113" s="672"/>
      <c r="X113" s="672"/>
      <c r="Y113" s="672"/>
      <c r="Z113" s="672"/>
      <c r="AA113" s="672"/>
      <c r="AB113" s="672"/>
      <c r="AC113" s="672"/>
    </row>
    <row r="114" spans="1:29">
      <c r="A114" s="672"/>
      <c r="B114" s="672"/>
      <c r="C114" s="672"/>
      <c r="D114" s="672"/>
      <c r="E114" s="672"/>
      <c r="F114" s="672"/>
      <c r="G114" s="672"/>
      <c r="H114" s="672"/>
      <c r="I114" s="672"/>
      <c r="V114" s="672"/>
      <c r="W114" s="672"/>
      <c r="X114" s="672"/>
      <c r="Y114" s="672"/>
      <c r="Z114" s="672"/>
      <c r="AA114" s="672"/>
      <c r="AB114" s="672"/>
      <c r="AC114" s="672"/>
    </row>
  </sheetData>
  <protectedRanges>
    <protectedRange sqref="Q7:Q16 Q18:Q19 Q59" name="Column Q Inputs"/>
    <protectedRange sqref="P88:P89 P92:Z97" name="Depreciation Inputs"/>
    <protectedRange sqref="Q52:Q55 Q75:Q76 Q80 Q83 Q64:Q71 Q47:Q48 Q50 Q57:Q61" name="Column Q Inputs 2"/>
    <protectedRange sqref="G7 G10 G12 G14:G15 G17:G18 G21:G26 G33:G39 G57:G58 G69 G73 G75 G84:G88 G62:G66 G41:G53" name="Column G Inputs"/>
    <protectedRange sqref="Q22:Q24 Q27:Q29 Q38:Q39 Q33:Q35 Q41:Q44" name="Column Q Inputs 1"/>
  </protectedRanges>
  <mergeCells count="10">
    <mergeCell ref="O4:P4"/>
    <mergeCell ref="C2:T2"/>
    <mergeCell ref="R95:T95"/>
    <mergeCell ref="R96:T96"/>
    <mergeCell ref="R97:T97"/>
    <mergeCell ref="R98:T98"/>
    <mergeCell ref="R91:T91"/>
    <mergeCell ref="R92:T92"/>
    <mergeCell ref="R93:T93"/>
    <mergeCell ref="R94:T94"/>
  </mergeCells>
  <conditionalFormatting sqref="C21">
    <cfRule type="expression" dxfId="142" priority="618">
      <formula>$G$21&lt;&gt;""</formula>
    </cfRule>
  </conditionalFormatting>
  <conditionalFormatting sqref="C34">
    <cfRule type="expression" dxfId="141" priority="612">
      <formula>$G$34&gt;=0</formula>
    </cfRule>
  </conditionalFormatting>
  <conditionalFormatting sqref="C22">
    <cfRule type="expression" dxfId="140" priority="439">
      <formula>AND($G$21="Simple",$G$22&gt;0)</formula>
    </cfRule>
    <cfRule type="expression" dxfId="139" priority="609">
      <formula>AND($G$21="Simple",$G$22&lt;=0)</formula>
    </cfRule>
  </conditionalFormatting>
  <conditionalFormatting sqref="C23">
    <cfRule type="expression" dxfId="138" priority="438">
      <formula>AND($G$21="Intermediate",$G$23&gt;0)</formula>
    </cfRule>
    <cfRule type="expression" dxfId="137" priority="608">
      <formula>AND($G$21="Intermediate",$G$23&lt;=0)</formula>
    </cfRule>
  </conditionalFormatting>
  <conditionalFormatting sqref="C85">
    <cfRule type="expression" dxfId="136" priority="192">
      <formula>$G$84="No"</formula>
    </cfRule>
    <cfRule type="expression" dxfId="135" priority="193">
      <formula>$D$85=1</formula>
    </cfRule>
  </conditionalFormatting>
  <conditionalFormatting sqref="C73">
    <cfRule type="expression" dxfId="134" priority="430">
      <formula>$D$73=1</formula>
    </cfRule>
  </conditionalFormatting>
  <conditionalFormatting sqref="L43 G28:H28 K24">
    <cfRule type="expression" dxfId="133" priority="772">
      <formula>$G$21="Complex"</formula>
    </cfRule>
  </conditionalFormatting>
  <conditionalFormatting sqref="C62">
    <cfRule type="expression" dxfId="132" priority="432">
      <formula>$D$62=1</formula>
    </cfRule>
  </conditionalFormatting>
  <conditionalFormatting sqref="E7:I7">
    <cfRule type="expression" dxfId="131" priority="460">
      <formula>#REF!="Solar Thermal Electric"</formula>
    </cfRule>
  </conditionalFormatting>
  <conditionalFormatting sqref="M24">
    <cfRule type="expression" dxfId="130" priority="455">
      <formula>$Q$24&lt;&gt;""</formula>
    </cfRule>
  </conditionalFormatting>
  <conditionalFormatting sqref="M23">
    <cfRule type="expression" dxfId="129" priority="454">
      <formula>$Q$23&lt;&gt;""</formula>
    </cfRule>
  </conditionalFormatting>
  <conditionalFormatting sqref="E51:G51 E52:H54 E50:H50 E39:H41 E42:G49">
    <cfRule type="expression" dxfId="128" priority="450">
      <formula>$G$33="Simple"</formula>
    </cfRule>
  </conditionalFormatting>
  <conditionalFormatting sqref="C28">
    <cfRule type="expression" dxfId="127" priority="436">
      <formula>AND($G$21="Complex",$G$28&gt;0)</formula>
    </cfRule>
    <cfRule type="expression" dxfId="126" priority="437">
      <formula>$G$21="Complex"</formula>
    </cfRule>
  </conditionalFormatting>
  <conditionalFormatting sqref="C36">
    <cfRule type="expression" dxfId="125" priority="435">
      <formula>$G$36&gt;0</formula>
    </cfRule>
  </conditionalFormatting>
  <conditionalFormatting sqref="C37">
    <cfRule type="expression" dxfId="124" priority="434">
      <formula>AND($G$37&gt;0,$G$37&lt;=$G$18)</formula>
    </cfRule>
  </conditionalFormatting>
  <conditionalFormatting sqref="C38">
    <cfRule type="expression" dxfId="123" priority="433">
      <formula>$G$38&gt;0</formula>
    </cfRule>
  </conditionalFormatting>
  <conditionalFormatting sqref="G68">
    <cfRule type="expression" dxfId="122" priority="417">
      <formula>$G$68="Fail"</formula>
    </cfRule>
  </conditionalFormatting>
  <conditionalFormatting sqref="O76:Q76 S76">
    <cfRule type="expression" dxfId="121" priority="412">
      <formula>$Q$75="Salvage"</formula>
    </cfRule>
  </conditionalFormatting>
  <conditionalFormatting sqref="E57:G59">
    <cfRule type="expression" dxfId="120" priority="390">
      <formula>$G$21="Simple"</formula>
    </cfRule>
  </conditionalFormatting>
  <conditionalFormatting sqref="G71">
    <cfRule type="expression" dxfId="119" priority="358">
      <formula>$G$71="Fail"</formula>
    </cfRule>
  </conditionalFormatting>
  <conditionalFormatting sqref="G22">
    <cfRule type="expression" dxfId="118" priority="322">
      <formula>$G$21="Simple"</formula>
    </cfRule>
  </conditionalFormatting>
  <conditionalFormatting sqref="G27 E23:F27">
    <cfRule type="expression" dxfId="117" priority="321">
      <formula>$G$21="Intermediate"</formula>
    </cfRule>
  </conditionalFormatting>
  <conditionalFormatting sqref="G23 G25:G26">
    <cfRule type="expression" dxfId="116" priority="310">
      <formula>$G$21="Intermediate"</formula>
    </cfRule>
  </conditionalFormatting>
  <conditionalFormatting sqref="G24">
    <cfRule type="expression" dxfId="115" priority="308">
      <formula>$G$21="Intermediate"</formula>
    </cfRule>
    <cfRule type="expression" dxfId="114" priority="309">
      <formula>$G$21="Intermediate"</formula>
    </cfRule>
  </conditionalFormatting>
  <conditionalFormatting sqref="E63:G71 I63:I71">
    <cfRule type="expression" dxfId="113" priority="304">
      <formula>$G$62=0</formula>
    </cfRule>
  </conditionalFormatting>
  <conditionalFormatting sqref="O28:P28">
    <cfRule type="expression" dxfId="112" priority="297">
      <formula>$T$28=1</formula>
    </cfRule>
  </conditionalFormatting>
  <conditionalFormatting sqref="O29:P29">
    <cfRule type="expression" dxfId="111" priority="296">
      <formula>$T$29=1</formula>
    </cfRule>
  </conditionalFormatting>
  <conditionalFormatting sqref="O30">
    <cfRule type="expression" dxfId="110" priority="295">
      <formula>$T$30=1</formula>
    </cfRule>
  </conditionalFormatting>
  <conditionalFormatting sqref="Q28">
    <cfRule type="expression" dxfId="109" priority="292">
      <formula>$T$28=1</formula>
    </cfRule>
  </conditionalFormatting>
  <conditionalFormatting sqref="Q29">
    <cfRule type="expression" dxfId="108" priority="291">
      <formula>$T$29=1</formula>
    </cfRule>
  </conditionalFormatting>
  <conditionalFormatting sqref="P30:Q30">
    <cfRule type="expression" dxfId="107" priority="290">
      <formula>$T$30=1</formula>
    </cfRule>
  </conditionalFormatting>
  <conditionalFormatting sqref="O27:P27">
    <cfRule type="expression" dxfId="106" priority="288">
      <formula>$T$27=1</formula>
    </cfRule>
  </conditionalFormatting>
  <conditionalFormatting sqref="Q27">
    <cfRule type="expression" dxfId="105" priority="287">
      <formula>$T$27=1</formula>
    </cfRule>
  </conditionalFormatting>
  <conditionalFormatting sqref="S41:S42 O41:Q42 S38:S39 O38:Q39">
    <cfRule type="expression" dxfId="104" priority="274">
      <formula>$R$33=1</formula>
    </cfRule>
  </conditionalFormatting>
  <conditionalFormatting sqref="I22">
    <cfRule type="expression" dxfId="103" priority="263">
      <formula>$G$21="Simple"</formula>
    </cfRule>
  </conditionalFormatting>
  <conditionalFormatting sqref="I28">
    <cfRule type="expression" dxfId="102" priority="262">
      <formula>$G$21="Complex"</formula>
    </cfRule>
  </conditionalFormatting>
  <conditionalFormatting sqref="I23:I27">
    <cfRule type="expression" dxfId="101" priority="261">
      <formula>$G$21="Intermediate"</formula>
    </cfRule>
  </conditionalFormatting>
  <conditionalFormatting sqref="I39:I54">
    <cfRule type="expression" dxfId="100" priority="260">
      <formula>$G$33="Intermediate"</formula>
    </cfRule>
  </conditionalFormatting>
  <conditionalFormatting sqref="E22:F22">
    <cfRule type="expression" dxfId="99" priority="254">
      <formula>$G$21="Simple"</formula>
    </cfRule>
  </conditionalFormatting>
  <conditionalFormatting sqref="F28">
    <cfRule type="expression" dxfId="98" priority="251">
      <formula>$G$21="Complex"</formula>
    </cfRule>
  </conditionalFormatting>
  <conditionalFormatting sqref="E28">
    <cfRule type="expression" dxfId="97" priority="250">
      <formula>$G$21="Complex"</formula>
    </cfRule>
  </conditionalFormatting>
  <conditionalFormatting sqref="S27">
    <cfRule type="expression" dxfId="96" priority="239">
      <formula>$T$27=1</formula>
    </cfRule>
  </conditionalFormatting>
  <conditionalFormatting sqref="S28">
    <cfRule type="expression" dxfId="95" priority="238">
      <formula>$T$28=1</formula>
    </cfRule>
  </conditionalFormatting>
  <conditionalFormatting sqref="S29">
    <cfRule type="expression" dxfId="94" priority="237">
      <formula>$T$29=1</formula>
    </cfRule>
  </conditionalFormatting>
  <conditionalFormatting sqref="S30">
    <cfRule type="expression" dxfId="93" priority="236">
      <formula>$T$30=1</formula>
    </cfRule>
  </conditionalFormatting>
  <conditionalFormatting sqref="C68">
    <cfRule type="expression" dxfId="92" priority="235">
      <formula>$G$68="Fail"</formula>
    </cfRule>
  </conditionalFormatting>
  <conditionalFormatting sqref="C71">
    <cfRule type="expression" dxfId="91" priority="234">
      <formula>$G$71="Fail"</formula>
    </cfRule>
  </conditionalFormatting>
  <conditionalFormatting sqref="E74:G74">
    <cfRule type="expression" dxfId="90" priority="233">
      <formula>$G$62=0%</formula>
    </cfRule>
  </conditionalFormatting>
  <conditionalFormatting sqref="C17">
    <cfRule type="expression" dxfId="89" priority="228">
      <formula>$D$17=1</formula>
    </cfRule>
  </conditionalFormatting>
  <conditionalFormatting sqref="M22">
    <cfRule type="expression" dxfId="88" priority="227">
      <formula>$N$22=1</formula>
    </cfRule>
  </conditionalFormatting>
  <conditionalFormatting sqref="C7">
    <cfRule type="expression" dxfId="87" priority="225">
      <formula>$G$7&gt;0</formula>
    </cfRule>
  </conditionalFormatting>
  <conditionalFormatting sqref="C33">
    <cfRule type="expression" dxfId="86" priority="218">
      <formula>$G$33&lt;&gt;""</formula>
    </cfRule>
  </conditionalFormatting>
  <conditionalFormatting sqref="C57">
    <cfRule type="expression" dxfId="85" priority="199">
      <formula>$G$21="Simple"</formula>
    </cfRule>
    <cfRule type="expression" dxfId="84" priority="217">
      <formula>$G$57&lt;=0</formula>
    </cfRule>
  </conditionalFormatting>
  <conditionalFormatting sqref="C58">
    <cfRule type="expression" dxfId="83" priority="198">
      <formula>$G$21="Simple"</formula>
    </cfRule>
    <cfRule type="expression" dxfId="82" priority="214">
      <formula>AND($G$21="Intermediate",$G$58&gt;=0)</formula>
    </cfRule>
  </conditionalFormatting>
  <conditionalFormatting sqref="C63">
    <cfRule type="expression" dxfId="81" priority="197">
      <formula>$G$62=0</formula>
    </cfRule>
    <cfRule type="expression" dxfId="80" priority="213">
      <formula>$D$63=1</formula>
    </cfRule>
  </conditionalFormatting>
  <conditionalFormatting sqref="C64">
    <cfRule type="expression" dxfId="79" priority="210">
      <formula>$D$64=1</formula>
    </cfRule>
  </conditionalFormatting>
  <conditionalFormatting sqref="C66">
    <cfRule type="expression" dxfId="78" priority="209">
      <formula>$G$66&lt;1</formula>
    </cfRule>
  </conditionalFormatting>
  <conditionalFormatting sqref="C69">
    <cfRule type="expression" dxfId="77" priority="208">
      <formula>$G$69&lt;1</formula>
    </cfRule>
  </conditionalFormatting>
  <conditionalFormatting sqref="C65">
    <cfRule type="expression" dxfId="76" priority="207">
      <formula>$D$65=1</formula>
    </cfRule>
  </conditionalFormatting>
  <conditionalFormatting sqref="C68:C69 C71 C63:C66">
    <cfRule type="expression" dxfId="75" priority="196">
      <formula>$G$62=0</formula>
    </cfRule>
  </conditionalFormatting>
  <conditionalFormatting sqref="C75">
    <cfRule type="expression" dxfId="74" priority="195">
      <formula>$G$75&lt;0</formula>
    </cfRule>
  </conditionalFormatting>
  <conditionalFormatting sqref="C84">
    <cfRule type="expression" dxfId="73" priority="194">
      <formula>$G$84=""</formula>
    </cfRule>
  </conditionalFormatting>
  <conditionalFormatting sqref="C87">
    <cfRule type="expression" dxfId="72" priority="185">
      <formula>$G$84="No"</formula>
    </cfRule>
    <cfRule type="expression" dxfId="71" priority="186">
      <formula>$D$87=1</formula>
    </cfRule>
  </conditionalFormatting>
  <conditionalFormatting sqref="C86">
    <cfRule type="expression" dxfId="70" priority="184">
      <formula>$G$86=""</formula>
    </cfRule>
  </conditionalFormatting>
  <conditionalFormatting sqref="C88">
    <cfRule type="expression" dxfId="69" priority="183">
      <formula>$G$88=""</formula>
    </cfRule>
  </conditionalFormatting>
  <conditionalFormatting sqref="M27">
    <cfRule type="expression" dxfId="68" priority="181">
      <formula>$Q$27=""</formula>
    </cfRule>
  </conditionalFormatting>
  <conditionalFormatting sqref="M28">
    <cfRule type="expression" dxfId="67" priority="180">
      <formula>$N$28=1</formula>
    </cfRule>
  </conditionalFormatting>
  <conditionalFormatting sqref="M29">
    <cfRule type="expression" dxfId="66" priority="179">
      <formula>$N$29=1</formula>
    </cfRule>
  </conditionalFormatting>
  <conditionalFormatting sqref="M33">
    <cfRule type="expression" dxfId="65" priority="178">
      <formula>$Q$33=""</formula>
    </cfRule>
  </conditionalFormatting>
  <conditionalFormatting sqref="M34">
    <cfRule type="expression" dxfId="64" priority="177">
      <formula>$Q$34=""</formula>
    </cfRule>
  </conditionalFormatting>
  <conditionalFormatting sqref="M38">
    <cfRule type="expression" dxfId="63" priority="176">
      <formula>$Q$38=""</formula>
    </cfRule>
  </conditionalFormatting>
  <conditionalFormatting sqref="M35 M61 M70 M75 M64 M66 M68 M44 M47:M48 M52">
    <cfRule type="expression" dxfId="62" priority="175">
      <formula>$N35=1</formula>
    </cfRule>
  </conditionalFormatting>
  <conditionalFormatting sqref="M39">
    <cfRule type="expression" dxfId="61" priority="167">
      <formula>$Q$39&lt;0</formula>
    </cfRule>
  </conditionalFormatting>
  <conditionalFormatting sqref="M41">
    <cfRule type="expression" dxfId="60" priority="166">
      <formula>$N$41=1</formula>
    </cfRule>
  </conditionalFormatting>
  <conditionalFormatting sqref="M42">
    <cfRule type="expression" dxfId="59" priority="165">
      <formula>$Q$42=""</formula>
    </cfRule>
  </conditionalFormatting>
  <conditionalFormatting sqref="M59 M80 M83 M43">
    <cfRule type="expression" dxfId="58" priority="163">
      <formula>$Q43&lt;0</formula>
    </cfRule>
  </conditionalFormatting>
  <conditionalFormatting sqref="M50">
    <cfRule type="expression" dxfId="57" priority="159">
      <formula>$N$50=1</formula>
    </cfRule>
  </conditionalFormatting>
  <conditionalFormatting sqref="M55">
    <cfRule type="expression" dxfId="56" priority="158">
      <formula>$Q$55&lt;0</formula>
    </cfRule>
  </conditionalFormatting>
  <conditionalFormatting sqref="M57">
    <cfRule type="expression" dxfId="55" priority="157">
      <formula>$N$57=1</formula>
    </cfRule>
  </conditionalFormatting>
  <conditionalFormatting sqref="M58">
    <cfRule type="expression" dxfId="54" priority="156">
      <formula>$Q$58=""</formula>
    </cfRule>
  </conditionalFormatting>
  <conditionalFormatting sqref="M65 M67 M69 M71">
    <cfRule type="expression" dxfId="53" priority="152">
      <formula>$Q65&gt;=0</formula>
    </cfRule>
  </conditionalFormatting>
  <conditionalFormatting sqref="M76">
    <cfRule type="expression" dxfId="52" priority="140">
      <formula>$Q$75="Salvage"</formula>
    </cfRule>
    <cfRule type="expression" dxfId="51" priority="150">
      <formula>$Q$76&lt;0</formula>
    </cfRule>
  </conditionalFormatting>
  <conditionalFormatting sqref="M85">
    <cfRule type="expression" dxfId="50" priority="147">
      <formula>$Q$85&lt;0</formula>
    </cfRule>
  </conditionalFormatting>
  <conditionalFormatting sqref="M34:M35">
    <cfRule type="expression" dxfId="49" priority="146">
      <formula>$Q$33="Performance-Based"</formula>
    </cfRule>
  </conditionalFormatting>
  <conditionalFormatting sqref="M41:M42 M38:M39">
    <cfRule type="expression" dxfId="48" priority="144">
      <formula>$Q$33="Cost-Based"</formula>
    </cfRule>
  </conditionalFormatting>
  <conditionalFormatting sqref="M52 M57:M58 M55">
    <cfRule type="expression" dxfId="47" priority="141">
      <formula>$R$52=1</formula>
    </cfRule>
  </conditionalFormatting>
  <conditionalFormatting sqref="M92">
    <cfRule type="expression" dxfId="46" priority="136">
      <formula>$N$92=2</formula>
    </cfRule>
    <cfRule type="expression" dxfId="45" priority="137">
      <formula>$N$92=1</formula>
    </cfRule>
  </conditionalFormatting>
  <conditionalFormatting sqref="M93:M97">
    <cfRule type="expression" dxfId="44" priority="132">
      <formula>$N93=2</formula>
    </cfRule>
    <cfRule type="expression" dxfId="43" priority="133">
      <formula>$N93=1</formula>
    </cfRule>
  </conditionalFormatting>
  <conditionalFormatting sqref="O92:R97 AB92:AB98 U92:Z97">
    <cfRule type="expression" dxfId="42" priority="131">
      <formula>$L92=0</formula>
    </cfRule>
  </conditionalFormatting>
  <conditionalFormatting sqref="U98:Z98 O98:R98">
    <cfRule type="expression" dxfId="41" priority="126">
      <formula>$L$98=0</formula>
    </cfRule>
  </conditionalFormatting>
  <conditionalFormatting sqref="C24:C26">
    <cfRule type="expression" dxfId="40" priority="124">
      <formula>$G24&lt;0</formula>
    </cfRule>
  </conditionalFormatting>
  <conditionalFormatting sqref="C39 C41:C53">
    <cfRule type="expression" dxfId="39" priority="121">
      <formula>$G$33="Simple"</formula>
    </cfRule>
  </conditionalFormatting>
  <conditionalFormatting sqref="C39 C52:C53 C49:C50 C47 C44:C45 C41:C42">
    <cfRule type="expression" dxfId="38" priority="118">
      <formula>$G39&lt;0</formula>
    </cfRule>
    <cfRule type="expression" dxfId="37" priority="119">
      <formula>$G39&lt;0</formula>
    </cfRule>
  </conditionalFormatting>
  <conditionalFormatting sqref="C51 C46 C48 C43">
    <cfRule type="expression" dxfId="36" priority="107">
      <formula>$G$51=""</formula>
    </cfRule>
  </conditionalFormatting>
  <conditionalFormatting sqref="C35">
    <cfRule type="expression" dxfId="35" priority="106">
      <formula>$G$35&lt;0</formula>
    </cfRule>
  </conditionalFormatting>
  <conditionalFormatting sqref="C18">
    <cfRule type="expression" dxfId="34" priority="105">
      <formula>$D$18=1</formula>
    </cfRule>
  </conditionalFormatting>
  <conditionalFormatting sqref="I68 I71">
    <cfRule type="expression" dxfId="33" priority="93">
      <formula>$G68="Fail"</formula>
    </cfRule>
  </conditionalFormatting>
  <conditionalFormatting sqref="E68">
    <cfRule type="expression" dxfId="32" priority="88">
      <formula>$G$68="Fail"</formula>
    </cfRule>
  </conditionalFormatting>
  <conditionalFormatting sqref="E71">
    <cfRule type="expression" dxfId="31" priority="87">
      <formula>$G$71="Fail"</formula>
    </cfRule>
  </conditionalFormatting>
  <conditionalFormatting sqref="S52:S53 O57:Q58 O55:Q55 O52:Q53 S57:S58 S55">
    <cfRule type="expression" dxfId="30" priority="85">
      <formula>$R$52=1</formula>
    </cfRule>
  </conditionalFormatting>
  <conditionalFormatting sqref="O54:Q54 S54">
    <cfRule type="expression" dxfId="29" priority="2741">
      <formula>$R$54=1</formula>
    </cfRule>
  </conditionalFormatting>
  <conditionalFormatting sqref="E85:G90 I85:I90">
    <cfRule type="expression" dxfId="28" priority="2824">
      <formula>$G$84="No"</formula>
    </cfRule>
  </conditionalFormatting>
  <conditionalFormatting sqref="M89">
    <cfRule type="expression" dxfId="27" priority="74">
      <formula>$P$88="No"</formula>
    </cfRule>
    <cfRule type="expression" dxfId="26" priority="75">
      <formula>$P$89&lt;0</formula>
    </cfRule>
  </conditionalFormatting>
  <conditionalFormatting sqref="O89:P89">
    <cfRule type="expression" dxfId="25" priority="73">
      <formula>$P$88="No"</formula>
    </cfRule>
  </conditionalFormatting>
  <conditionalFormatting sqref="S89">
    <cfRule type="expression" dxfId="24" priority="72">
      <formula>$P$89="No"</formula>
    </cfRule>
  </conditionalFormatting>
  <conditionalFormatting sqref="M88">
    <cfRule type="expression" dxfId="23" priority="71">
      <formula>$P$88=""</formula>
    </cfRule>
  </conditionalFormatting>
  <conditionalFormatting sqref="O53:Q53 S53">
    <cfRule type="expression" dxfId="22" priority="63">
      <formula>$R$53=1</formula>
    </cfRule>
  </conditionalFormatting>
  <conditionalFormatting sqref="O53:Q53">
    <cfRule type="expression" dxfId="21" priority="62">
      <formula>$Q$53="No"</formula>
    </cfRule>
  </conditionalFormatting>
  <conditionalFormatting sqref="C8">
    <cfRule type="expression" dxfId="20" priority="45">
      <formula>$G$8&gt;0</formula>
    </cfRule>
  </conditionalFormatting>
  <conditionalFormatting sqref="C10">
    <cfRule type="expression" dxfId="19" priority="43">
      <formula>$G$10&gt;0</formula>
    </cfRule>
  </conditionalFormatting>
  <conditionalFormatting sqref="M27:M29">
    <cfRule type="expression" dxfId="18" priority="4987">
      <formula>$G$18=$Q$22</formula>
    </cfRule>
  </conditionalFormatting>
  <conditionalFormatting sqref="L38 K18">
    <cfRule type="expression" dxfId="17" priority="4988">
      <formula>$G$21="Simple"</formula>
    </cfRule>
  </conditionalFormatting>
  <conditionalFormatting sqref="L41:L42 L39 K19:K23">
    <cfRule type="expression" dxfId="16" priority="4990">
      <formula>$G$21="Intermediate"</formula>
    </cfRule>
  </conditionalFormatting>
  <conditionalFormatting sqref="M50 M48">
    <cfRule type="expression" dxfId="15" priority="5350">
      <formula>$R$48=1</formula>
    </cfRule>
  </conditionalFormatting>
  <conditionalFormatting sqref="S50:S51 O50:Q51 S48 O48:Q48">
    <cfRule type="expression" dxfId="14" priority="5368">
      <formula>$R$48=1</formula>
    </cfRule>
  </conditionalFormatting>
  <conditionalFormatting sqref="M54">
    <cfRule type="expression" dxfId="13" priority="5514">
      <formula>$Q$52="Tax Credit"</formula>
    </cfRule>
    <cfRule type="expression" dxfId="12" priority="5515">
      <formula>$Q54=""</formula>
    </cfRule>
  </conditionalFormatting>
  <conditionalFormatting sqref="O40:Q40">
    <cfRule type="expression" dxfId="11" priority="2">
      <formula>$R$33=1</formula>
    </cfRule>
  </conditionalFormatting>
  <conditionalFormatting sqref="O34:Q37 S34:S35">
    <cfRule type="expression" dxfId="10" priority="1">
      <formula>$R$33=2</formula>
    </cfRule>
  </conditionalFormatting>
  <dataValidations count="13">
    <dataValidation type="decimal" errorStyle="warning" operator="greaterThanOrEqual" allowBlank="1" showInputMessage="1" showErrorMessage="1" errorTitle="Project Fails to Meet DSCR" error="This project's cash flow is insufficient to support the amount of user-defined debt, and fails to meet the lender's requirements.    _x000a_Please read the note field(s) highlighted in yellow for options to cure this deficiency._x000a_" sqref="G70" xr:uid="{00000000-0002-0000-0100-000000000000}">
      <formula1>G69</formula1>
    </dataValidation>
    <dataValidation type="list" allowBlank="1" showInputMessage="1" showErrorMessage="1" sqref="Q54 Q44 Q61 G84 P88" xr:uid="{00000000-0002-0000-0100-000001000000}">
      <formula1>"Yes, No"</formula1>
    </dataValidation>
    <dataValidation type="list" allowBlank="1" showInputMessage="1" showErrorMessage="1" sqref="Q52 Q38" xr:uid="{00000000-0002-0000-0100-000002000000}">
      <formula1>"Cash, Tax Credit"</formula1>
    </dataValidation>
    <dataValidation type="list" allowBlank="1" showInputMessage="1" showErrorMessage="1" sqref="Q47 Q33" xr:uid="{00000000-0002-0000-0100-000003000000}">
      <formula1>"Cost-Based, Performance-Based, Neither"</formula1>
    </dataValidation>
    <dataValidation type="list" allowBlank="1" showInputMessage="1" showErrorMessage="1" sqref="Q75" xr:uid="{00000000-0002-0000-0100-000004000000}">
      <formula1>"Operations, Salvage"</formula1>
    </dataValidation>
    <dataValidation type="list" allowBlank="1" showInputMessage="1" showErrorMessage="1" sqref="Q34" xr:uid="{00000000-0002-0000-0100-000005000000}">
      <formula1>"ITC, Cash Grant"</formula1>
    </dataValidation>
    <dataValidation type="list" allowBlank="1" showInputMessage="1" showErrorMessage="1" sqref="Q27" xr:uid="{00000000-0002-0000-0100-000006000000}">
      <formula1>"Year One, Year-by-Year"</formula1>
    </dataValidation>
    <dataValidation type="list" allowBlank="1" showInputMessage="1" showErrorMessage="1" sqref="G86 G88" xr:uid="{00000000-0002-0000-0100-000007000000}">
      <formula1>"As Generated, Carried Forward"</formula1>
    </dataValidation>
    <dataValidation errorStyle="warning" allowBlank="1" showInputMessage="1" showErrorMessage="1" sqref="G68" xr:uid="{00000000-0002-0000-0100-000008000000}"/>
    <dataValidation errorStyle="warning" operator="equal" allowBlank="1" showInputMessage="1" showErrorMessage="1" errorTitle="Project Fails to Meet DSCR" error="This project's cash flow is insufficient to support the amount of user-defined debt, and fails to meet the lender's requirements.    _x000a_Please read the note field(s) highlighted in yellow for options to cure this deficiency._x000a__x000a_" sqref="H68 H71" xr:uid="{00000000-0002-0000-0100-000009000000}"/>
    <dataValidation errorStyle="warning" operator="greaterThanOrEqual" allowBlank="1" showInputMessage="1" showErrorMessage="1" errorTitle="test" error="test" sqref="G66" xr:uid="{00000000-0002-0000-0100-00000A000000}"/>
    <dataValidation type="list" allowBlank="1" showInputMessage="1" showErrorMessage="1" sqref="G33" xr:uid="{00000000-0002-0000-0100-00000B000000}">
      <formula1>"Simple, Intermediate"</formula1>
    </dataValidation>
    <dataValidation type="list" allowBlank="1" showInputMessage="1" showErrorMessage="1" sqref="G21" xr:uid="{00000000-0002-0000-0100-00000C000000}">
      <formula1>"Simple, Intermediate, Complex"</formula1>
    </dataValidation>
  </dataValidations>
  <hyperlinks>
    <hyperlink ref="E28" location="'Complex Inputs'!A1" display="'Complex Inputs'!A1" xr:uid="{00000000-0004-0000-0100-000000000000}"/>
    <hyperlink ref="O30" location="'Complex Inputs'!A126" display="'Complex Inputs'!A126" xr:uid="{00000000-0004-0000-0100-000001000000}"/>
    <hyperlink ref="O98" location="'Complex Inputs'!A114" display="'Complex Inputs'!A114" xr:uid="{00000000-0004-0000-0100-000002000000}"/>
  </hyperlink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O77"/>
  <sheetViews>
    <sheetView showGridLines="0" tabSelected="1" zoomScale="70" zoomScaleNormal="70" workbookViewId="0">
      <pane xSplit="1" ySplit="2" topLeftCell="B3" activePane="bottomRight" state="frozen"/>
      <selection pane="topRight" activeCell="B1" sqref="B1"/>
      <selection pane="bottomLeft" activeCell="A3" sqref="A3"/>
      <selection pane="bottomRight" activeCell="G6" sqref="G6"/>
    </sheetView>
  </sheetViews>
  <sheetFormatPr baseColWidth="10" defaultColWidth="8.83203125" defaultRowHeight="14"/>
  <cols>
    <col min="1" max="1" width="2.5" style="160" customWidth="1"/>
    <col min="2" max="2" width="57.5" style="160" customWidth="1"/>
    <col min="3" max="3" width="15.5" style="160" customWidth="1"/>
    <col min="4" max="4" width="22.6640625" style="160" bestFit="1" customWidth="1"/>
    <col min="5" max="5" width="3.83203125" style="160" customWidth="1"/>
    <col min="6" max="15" width="26.33203125" style="160" bestFit="1" customWidth="1"/>
    <col min="16" max="243" width="9.1640625" style="160"/>
    <col min="244" max="244" width="21.5" style="160" customWidth="1"/>
    <col min="245" max="245" width="16.5" style="160" customWidth="1"/>
    <col min="246" max="246" width="18" style="160" customWidth="1"/>
    <col min="247" max="247" width="23.6640625" style="160" customWidth="1"/>
    <col min="248" max="248" width="26" style="160" customWidth="1"/>
    <col min="249" max="249" width="21.5" style="160" customWidth="1"/>
    <col min="250" max="250" width="20.83203125" style="160" customWidth="1"/>
    <col min="251" max="251" width="0" style="160" hidden="1" customWidth="1"/>
    <col min="252" max="499" width="9.1640625" style="160"/>
    <col min="500" max="500" width="21.5" style="160" customWidth="1"/>
    <col min="501" max="501" width="16.5" style="160" customWidth="1"/>
    <col min="502" max="502" width="18" style="160" customWidth="1"/>
    <col min="503" max="503" width="23.6640625" style="160" customWidth="1"/>
    <col min="504" max="504" width="26" style="160" customWidth="1"/>
    <col min="505" max="505" width="21.5" style="160" customWidth="1"/>
    <col min="506" max="506" width="20.83203125" style="160" customWidth="1"/>
    <col min="507" max="507" width="0" style="160" hidden="1" customWidth="1"/>
    <col min="508" max="755" width="9.1640625" style="160"/>
    <col min="756" max="756" width="21.5" style="160" customWidth="1"/>
    <col min="757" max="757" width="16.5" style="160" customWidth="1"/>
    <col min="758" max="758" width="18" style="160" customWidth="1"/>
    <col min="759" max="759" width="23.6640625" style="160" customWidth="1"/>
    <col min="760" max="760" width="26" style="160" customWidth="1"/>
    <col min="761" max="761" width="21.5" style="160" customWidth="1"/>
    <col min="762" max="762" width="20.83203125" style="160" customWidth="1"/>
    <col min="763" max="763" width="0" style="160" hidden="1" customWidth="1"/>
    <col min="764" max="1011" width="9.1640625" style="160"/>
    <col min="1012" max="1012" width="21.5" style="160" customWidth="1"/>
    <col min="1013" max="1013" width="16.5" style="160" customWidth="1"/>
    <col min="1014" max="1014" width="18" style="160" customWidth="1"/>
    <col min="1015" max="1015" width="23.6640625" style="160" customWidth="1"/>
    <col min="1016" max="1016" width="26" style="160" customWidth="1"/>
    <col min="1017" max="1017" width="21.5" style="160" customWidth="1"/>
    <col min="1018" max="1018" width="20.83203125" style="160" customWidth="1"/>
    <col min="1019" max="1019" width="0" style="160" hidden="1" customWidth="1"/>
    <col min="1020" max="1267" width="9.1640625" style="160"/>
    <col min="1268" max="1268" width="21.5" style="160" customWidth="1"/>
    <col min="1269" max="1269" width="16.5" style="160" customWidth="1"/>
    <col min="1270" max="1270" width="18" style="160" customWidth="1"/>
    <col min="1271" max="1271" width="23.6640625" style="160" customWidth="1"/>
    <col min="1272" max="1272" width="26" style="160" customWidth="1"/>
    <col min="1273" max="1273" width="21.5" style="160" customWidth="1"/>
    <col min="1274" max="1274" width="20.83203125" style="160" customWidth="1"/>
    <col min="1275" max="1275" width="0" style="160" hidden="1" customWidth="1"/>
    <col min="1276" max="1523" width="9.1640625" style="160"/>
    <col min="1524" max="1524" width="21.5" style="160" customWidth="1"/>
    <col min="1525" max="1525" width="16.5" style="160" customWidth="1"/>
    <col min="1526" max="1526" width="18" style="160" customWidth="1"/>
    <col min="1527" max="1527" width="23.6640625" style="160" customWidth="1"/>
    <col min="1528" max="1528" width="26" style="160" customWidth="1"/>
    <col min="1529" max="1529" width="21.5" style="160" customWidth="1"/>
    <col min="1530" max="1530" width="20.83203125" style="160" customWidth="1"/>
    <col min="1531" max="1531" width="0" style="160" hidden="1" customWidth="1"/>
    <col min="1532" max="1779" width="9.1640625" style="160"/>
    <col min="1780" max="1780" width="21.5" style="160" customWidth="1"/>
    <col min="1781" max="1781" width="16.5" style="160" customWidth="1"/>
    <col min="1782" max="1782" width="18" style="160" customWidth="1"/>
    <col min="1783" max="1783" width="23.6640625" style="160" customWidth="1"/>
    <col min="1784" max="1784" width="26" style="160" customWidth="1"/>
    <col min="1785" max="1785" width="21.5" style="160" customWidth="1"/>
    <col min="1786" max="1786" width="20.83203125" style="160" customWidth="1"/>
    <col min="1787" max="1787" width="0" style="160" hidden="1" customWidth="1"/>
    <col min="1788" max="2035" width="9.1640625" style="160"/>
    <col min="2036" max="2036" width="21.5" style="160" customWidth="1"/>
    <col min="2037" max="2037" width="16.5" style="160" customWidth="1"/>
    <col min="2038" max="2038" width="18" style="160" customWidth="1"/>
    <col min="2039" max="2039" width="23.6640625" style="160" customWidth="1"/>
    <col min="2040" max="2040" width="26" style="160" customWidth="1"/>
    <col min="2041" max="2041" width="21.5" style="160" customWidth="1"/>
    <col min="2042" max="2042" width="20.83203125" style="160" customWidth="1"/>
    <col min="2043" max="2043" width="0" style="160" hidden="1" customWidth="1"/>
    <col min="2044" max="2291" width="9.1640625" style="160"/>
    <col min="2292" max="2292" width="21.5" style="160" customWidth="1"/>
    <col min="2293" max="2293" width="16.5" style="160" customWidth="1"/>
    <col min="2294" max="2294" width="18" style="160" customWidth="1"/>
    <col min="2295" max="2295" width="23.6640625" style="160" customWidth="1"/>
    <col min="2296" max="2296" width="26" style="160" customWidth="1"/>
    <col min="2297" max="2297" width="21.5" style="160" customWidth="1"/>
    <col min="2298" max="2298" width="20.83203125" style="160" customWidth="1"/>
    <col min="2299" max="2299" width="0" style="160" hidden="1" customWidth="1"/>
    <col min="2300" max="2547" width="9.1640625" style="160"/>
    <col min="2548" max="2548" width="21.5" style="160" customWidth="1"/>
    <col min="2549" max="2549" width="16.5" style="160" customWidth="1"/>
    <col min="2550" max="2550" width="18" style="160" customWidth="1"/>
    <col min="2551" max="2551" width="23.6640625" style="160" customWidth="1"/>
    <col min="2552" max="2552" width="26" style="160" customWidth="1"/>
    <col min="2553" max="2553" width="21.5" style="160" customWidth="1"/>
    <col min="2554" max="2554" width="20.83203125" style="160" customWidth="1"/>
    <col min="2555" max="2555" width="0" style="160" hidden="1" customWidth="1"/>
    <col min="2556" max="2803" width="9.1640625" style="160"/>
    <col min="2804" max="2804" width="21.5" style="160" customWidth="1"/>
    <col min="2805" max="2805" width="16.5" style="160" customWidth="1"/>
    <col min="2806" max="2806" width="18" style="160" customWidth="1"/>
    <col min="2807" max="2807" width="23.6640625" style="160" customWidth="1"/>
    <col min="2808" max="2808" width="26" style="160" customWidth="1"/>
    <col min="2809" max="2809" width="21.5" style="160" customWidth="1"/>
    <col min="2810" max="2810" width="20.83203125" style="160" customWidth="1"/>
    <col min="2811" max="2811" width="0" style="160" hidden="1" customWidth="1"/>
    <col min="2812" max="3059" width="9.1640625" style="160"/>
    <col min="3060" max="3060" width="21.5" style="160" customWidth="1"/>
    <col min="3061" max="3061" width="16.5" style="160" customWidth="1"/>
    <col min="3062" max="3062" width="18" style="160" customWidth="1"/>
    <col min="3063" max="3063" width="23.6640625" style="160" customWidth="1"/>
    <col min="3064" max="3064" width="26" style="160" customWidth="1"/>
    <col min="3065" max="3065" width="21.5" style="160" customWidth="1"/>
    <col min="3066" max="3066" width="20.83203125" style="160" customWidth="1"/>
    <col min="3067" max="3067" width="0" style="160" hidden="1" customWidth="1"/>
    <col min="3068" max="3315" width="9.1640625" style="160"/>
    <col min="3316" max="3316" width="21.5" style="160" customWidth="1"/>
    <col min="3317" max="3317" width="16.5" style="160" customWidth="1"/>
    <col min="3318" max="3318" width="18" style="160" customWidth="1"/>
    <col min="3319" max="3319" width="23.6640625" style="160" customWidth="1"/>
    <col min="3320" max="3320" width="26" style="160" customWidth="1"/>
    <col min="3321" max="3321" width="21.5" style="160" customWidth="1"/>
    <col min="3322" max="3322" width="20.83203125" style="160" customWidth="1"/>
    <col min="3323" max="3323" width="0" style="160" hidden="1" customWidth="1"/>
    <col min="3324" max="3571" width="9.1640625" style="160"/>
    <col min="3572" max="3572" width="21.5" style="160" customWidth="1"/>
    <col min="3573" max="3573" width="16.5" style="160" customWidth="1"/>
    <col min="3574" max="3574" width="18" style="160" customWidth="1"/>
    <col min="3575" max="3575" width="23.6640625" style="160" customWidth="1"/>
    <col min="3576" max="3576" width="26" style="160" customWidth="1"/>
    <col min="3577" max="3577" width="21.5" style="160" customWidth="1"/>
    <col min="3578" max="3578" width="20.83203125" style="160" customWidth="1"/>
    <col min="3579" max="3579" width="0" style="160" hidden="1" customWidth="1"/>
    <col min="3580" max="3827" width="9.1640625" style="160"/>
    <col min="3828" max="3828" width="21.5" style="160" customWidth="1"/>
    <col min="3829" max="3829" width="16.5" style="160" customWidth="1"/>
    <col min="3830" max="3830" width="18" style="160" customWidth="1"/>
    <col min="3831" max="3831" width="23.6640625" style="160" customWidth="1"/>
    <col min="3832" max="3832" width="26" style="160" customWidth="1"/>
    <col min="3833" max="3833" width="21.5" style="160" customWidth="1"/>
    <col min="3834" max="3834" width="20.83203125" style="160" customWidth="1"/>
    <col min="3835" max="3835" width="0" style="160" hidden="1" customWidth="1"/>
    <col min="3836" max="4083" width="9.1640625" style="160"/>
    <col min="4084" max="4084" width="21.5" style="160" customWidth="1"/>
    <col min="4085" max="4085" width="16.5" style="160" customWidth="1"/>
    <col min="4086" max="4086" width="18" style="160" customWidth="1"/>
    <col min="4087" max="4087" width="23.6640625" style="160" customWidth="1"/>
    <col min="4088" max="4088" width="26" style="160" customWidth="1"/>
    <col min="4089" max="4089" width="21.5" style="160" customWidth="1"/>
    <col min="4090" max="4090" width="20.83203125" style="160" customWidth="1"/>
    <col min="4091" max="4091" width="0" style="160" hidden="1" customWidth="1"/>
    <col min="4092" max="4339" width="9.1640625" style="160"/>
    <col min="4340" max="4340" width="21.5" style="160" customWidth="1"/>
    <col min="4341" max="4341" width="16.5" style="160" customWidth="1"/>
    <col min="4342" max="4342" width="18" style="160" customWidth="1"/>
    <col min="4343" max="4343" width="23.6640625" style="160" customWidth="1"/>
    <col min="4344" max="4344" width="26" style="160" customWidth="1"/>
    <col min="4345" max="4345" width="21.5" style="160" customWidth="1"/>
    <col min="4346" max="4346" width="20.83203125" style="160" customWidth="1"/>
    <col min="4347" max="4347" width="0" style="160" hidden="1" customWidth="1"/>
    <col min="4348" max="4595" width="9.1640625" style="160"/>
    <col min="4596" max="4596" width="21.5" style="160" customWidth="1"/>
    <col min="4597" max="4597" width="16.5" style="160" customWidth="1"/>
    <col min="4598" max="4598" width="18" style="160" customWidth="1"/>
    <col min="4599" max="4599" width="23.6640625" style="160" customWidth="1"/>
    <col min="4600" max="4600" width="26" style="160" customWidth="1"/>
    <col min="4601" max="4601" width="21.5" style="160" customWidth="1"/>
    <col min="4602" max="4602" width="20.83203125" style="160" customWidth="1"/>
    <col min="4603" max="4603" width="0" style="160" hidden="1" customWidth="1"/>
    <col min="4604" max="4851" width="9.1640625" style="160"/>
    <col min="4852" max="4852" width="21.5" style="160" customWidth="1"/>
    <col min="4853" max="4853" width="16.5" style="160" customWidth="1"/>
    <col min="4854" max="4854" width="18" style="160" customWidth="1"/>
    <col min="4855" max="4855" width="23.6640625" style="160" customWidth="1"/>
    <col min="4856" max="4856" width="26" style="160" customWidth="1"/>
    <col min="4857" max="4857" width="21.5" style="160" customWidth="1"/>
    <col min="4858" max="4858" width="20.83203125" style="160" customWidth="1"/>
    <col min="4859" max="4859" width="0" style="160" hidden="1" customWidth="1"/>
    <col min="4860" max="5107" width="9.1640625" style="160"/>
    <col min="5108" max="5108" width="21.5" style="160" customWidth="1"/>
    <col min="5109" max="5109" width="16.5" style="160" customWidth="1"/>
    <col min="5110" max="5110" width="18" style="160" customWidth="1"/>
    <col min="5111" max="5111" width="23.6640625" style="160" customWidth="1"/>
    <col min="5112" max="5112" width="26" style="160" customWidth="1"/>
    <col min="5113" max="5113" width="21.5" style="160" customWidth="1"/>
    <col min="5114" max="5114" width="20.83203125" style="160" customWidth="1"/>
    <col min="5115" max="5115" width="0" style="160" hidden="1" customWidth="1"/>
    <col min="5116" max="5363" width="9.1640625" style="160"/>
    <col min="5364" max="5364" width="21.5" style="160" customWidth="1"/>
    <col min="5365" max="5365" width="16.5" style="160" customWidth="1"/>
    <col min="5366" max="5366" width="18" style="160" customWidth="1"/>
    <col min="5367" max="5367" width="23.6640625" style="160" customWidth="1"/>
    <col min="5368" max="5368" width="26" style="160" customWidth="1"/>
    <col min="5369" max="5369" width="21.5" style="160" customWidth="1"/>
    <col min="5370" max="5370" width="20.83203125" style="160" customWidth="1"/>
    <col min="5371" max="5371" width="0" style="160" hidden="1" customWidth="1"/>
    <col min="5372" max="5619" width="9.1640625" style="160"/>
    <col min="5620" max="5620" width="21.5" style="160" customWidth="1"/>
    <col min="5621" max="5621" width="16.5" style="160" customWidth="1"/>
    <col min="5622" max="5622" width="18" style="160" customWidth="1"/>
    <col min="5623" max="5623" width="23.6640625" style="160" customWidth="1"/>
    <col min="5624" max="5624" width="26" style="160" customWidth="1"/>
    <col min="5625" max="5625" width="21.5" style="160" customWidth="1"/>
    <col min="5626" max="5626" width="20.83203125" style="160" customWidth="1"/>
    <col min="5627" max="5627" width="0" style="160" hidden="1" customWidth="1"/>
    <col min="5628" max="5875" width="9.1640625" style="160"/>
    <col min="5876" max="5876" width="21.5" style="160" customWidth="1"/>
    <col min="5877" max="5877" width="16.5" style="160" customWidth="1"/>
    <col min="5878" max="5878" width="18" style="160" customWidth="1"/>
    <col min="5879" max="5879" width="23.6640625" style="160" customWidth="1"/>
    <col min="5880" max="5880" width="26" style="160" customWidth="1"/>
    <col min="5881" max="5881" width="21.5" style="160" customWidth="1"/>
    <col min="5882" max="5882" width="20.83203125" style="160" customWidth="1"/>
    <col min="5883" max="5883" width="0" style="160" hidden="1" customWidth="1"/>
    <col min="5884" max="6131" width="9.1640625" style="160"/>
    <col min="6132" max="6132" width="21.5" style="160" customWidth="1"/>
    <col min="6133" max="6133" width="16.5" style="160" customWidth="1"/>
    <col min="6134" max="6134" width="18" style="160" customWidth="1"/>
    <col min="6135" max="6135" width="23.6640625" style="160" customWidth="1"/>
    <col min="6136" max="6136" width="26" style="160" customWidth="1"/>
    <col min="6137" max="6137" width="21.5" style="160" customWidth="1"/>
    <col min="6138" max="6138" width="20.83203125" style="160" customWidth="1"/>
    <col min="6139" max="6139" width="0" style="160" hidden="1" customWidth="1"/>
    <col min="6140" max="6387" width="9.1640625" style="160"/>
    <col min="6388" max="6388" width="21.5" style="160" customWidth="1"/>
    <col min="6389" max="6389" width="16.5" style="160" customWidth="1"/>
    <col min="6390" max="6390" width="18" style="160" customWidth="1"/>
    <col min="6391" max="6391" width="23.6640625" style="160" customWidth="1"/>
    <col min="6392" max="6392" width="26" style="160" customWidth="1"/>
    <col min="6393" max="6393" width="21.5" style="160" customWidth="1"/>
    <col min="6394" max="6394" width="20.83203125" style="160" customWidth="1"/>
    <col min="6395" max="6395" width="0" style="160" hidden="1" customWidth="1"/>
    <col min="6396" max="6643" width="9.1640625" style="160"/>
    <col min="6644" max="6644" width="21.5" style="160" customWidth="1"/>
    <col min="6645" max="6645" width="16.5" style="160" customWidth="1"/>
    <col min="6646" max="6646" width="18" style="160" customWidth="1"/>
    <col min="6647" max="6647" width="23.6640625" style="160" customWidth="1"/>
    <col min="6648" max="6648" width="26" style="160" customWidth="1"/>
    <col min="6649" max="6649" width="21.5" style="160" customWidth="1"/>
    <col min="6650" max="6650" width="20.83203125" style="160" customWidth="1"/>
    <col min="6651" max="6651" width="0" style="160" hidden="1" customWidth="1"/>
    <col min="6652" max="6899" width="9.1640625" style="160"/>
    <col min="6900" max="6900" width="21.5" style="160" customWidth="1"/>
    <col min="6901" max="6901" width="16.5" style="160" customWidth="1"/>
    <col min="6902" max="6902" width="18" style="160" customWidth="1"/>
    <col min="6903" max="6903" width="23.6640625" style="160" customWidth="1"/>
    <col min="6904" max="6904" width="26" style="160" customWidth="1"/>
    <col min="6905" max="6905" width="21.5" style="160" customWidth="1"/>
    <col min="6906" max="6906" width="20.83203125" style="160" customWidth="1"/>
    <col min="6907" max="6907" width="0" style="160" hidden="1" customWidth="1"/>
    <col min="6908" max="7155" width="9.1640625" style="160"/>
    <col min="7156" max="7156" width="21.5" style="160" customWidth="1"/>
    <col min="7157" max="7157" width="16.5" style="160" customWidth="1"/>
    <col min="7158" max="7158" width="18" style="160" customWidth="1"/>
    <col min="7159" max="7159" width="23.6640625" style="160" customWidth="1"/>
    <col min="7160" max="7160" width="26" style="160" customWidth="1"/>
    <col min="7161" max="7161" width="21.5" style="160" customWidth="1"/>
    <col min="7162" max="7162" width="20.83203125" style="160" customWidth="1"/>
    <col min="7163" max="7163" width="0" style="160" hidden="1" customWidth="1"/>
    <col min="7164" max="7411" width="9.1640625" style="160"/>
    <col min="7412" max="7412" width="21.5" style="160" customWidth="1"/>
    <col min="7413" max="7413" width="16.5" style="160" customWidth="1"/>
    <col min="7414" max="7414" width="18" style="160" customWidth="1"/>
    <col min="7415" max="7415" width="23.6640625" style="160" customWidth="1"/>
    <col min="7416" max="7416" width="26" style="160" customWidth="1"/>
    <col min="7417" max="7417" width="21.5" style="160" customWidth="1"/>
    <col min="7418" max="7418" width="20.83203125" style="160" customWidth="1"/>
    <col min="7419" max="7419" width="0" style="160" hidden="1" customWidth="1"/>
    <col min="7420" max="7667" width="9.1640625" style="160"/>
    <col min="7668" max="7668" width="21.5" style="160" customWidth="1"/>
    <col min="7669" max="7669" width="16.5" style="160" customWidth="1"/>
    <col min="7670" max="7670" width="18" style="160" customWidth="1"/>
    <col min="7671" max="7671" width="23.6640625" style="160" customWidth="1"/>
    <col min="7672" max="7672" width="26" style="160" customWidth="1"/>
    <col min="7673" max="7673" width="21.5" style="160" customWidth="1"/>
    <col min="7674" max="7674" width="20.83203125" style="160" customWidth="1"/>
    <col min="7675" max="7675" width="0" style="160" hidden="1" customWidth="1"/>
    <col min="7676" max="7923" width="9.1640625" style="160"/>
    <col min="7924" max="7924" width="21.5" style="160" customWidth="1"/>
    <col min="7925" max="7925" width="16.5" style="160" customWidth="1"/>
    <col min="7926" max="7926" width="18" style="160" customWidth="1"/>
    <col min="7927" max="7927" width="23.6640625" style="160" customWidth="1"/>
    <col min="7928" max="7928" width="26" style="160" customWidth="1"/>
    <col min="7929" max="7929" width="21.5" style="160" customWidth="1"/>
    <col min="7930" max="7930" width="20.83203125" style="160" customWidth="1"/>
    <col min="7931" max="7931" width="0" style="160" hidden="1" customWidth="1"/>
    <col min="7932" max="8179" width="9.1640625" style="160"/>
    <col min="8180" max="8180" width="21.5" style="160" customWidth="1"/>
    <col min="8181" max="8181" width="16.5" style="160" customWidth="1"/>
    <col min="8182" max="8182" width="18" style="160" customWidth="1"/>
    <col min="8183" max="8183" width="23.6640625" style="160" customWidth="1"/>
    <col min="8184" max="8184" width="26" style="160" customWidth="1"/>
    <col min="8185" max="8185" width="21.5" style="160" customWidth="1"/>
    <col min="8186" max="8186" width="20.83203125" style="160" customWidth="1"/>
    <col min="8187" max="8187" width="0" style="160" hidden="1" customWidth="1"/>
    <col min="8188" max="8435" width="9.1640625" style="160"/>
    <col min="8436" max="8436" width="21.5" style="160" customWidth="1"/>
    <col min="8437" max="8437" width="16.5" style="160" customWidth="1"/>
    <col min="8438" max="8438" width="18" style="160" customWidth="1"/>
    <col min="8439" max="8439" width="23.6640625" style="160" customWidth="1"/>
    <col min="8440" max="8440" width="26" style="160" customWidth="1"/>
    <col min="8441" max="8441" width="21.5" style="160" customWidth="1"/>
    <col min="8442" max="8442" width="20.83203125" style="160" customWidth="1"/>
    <col min="8443" max="8443" width="0" style="160" hidden="1" customWidth="1"/>
    <col min="8444" max="8691" width="9.1640625" style="160"/>
    <col min="8692" max="8692" width="21.5" style="160" customWidth="1"/>
    <col min="8693" max="8693" width="16.5" style="160" customWidth="1"/>
    <col min="8694" max="8694" width="18" style="160" customWidth="1"/>
    <col min="8695" max="8695" width="23.6640625" style="160" customWidth="1"/>
    <col min="8696" max="8696" width="26" style="160" customWidth="1"/>
    <col min="8697" max="8697" width="21.5" style="160" customWidth="1"/>
    <col min="8698" max="8698" width="20.83203125" style="160" customWidth="1"/>
    <col min="8699" max="8699" width="0" style="160" hidden="1" customWidth="1"/>
    <col min="8700" max="8947" width="9.1640625" style="160"/>
    <col min="8948" max="8948" width="21.5" style="160" customWidth="1"/>
    <col min="8949" max="8949" width="16.5" style="160" customWidth="1"/>
    <col min="8950" max="8950" width="18" style="160" customWidth="1"/>
    <col min="8951" max="8951" width="23.6640625" style="160" customWidth="1"/>
    <col min="8952" max="8952" width="26" style="160" customWidth="1"/>
    <col min="8953" max="8953" width="21.5" style="160" customWidth="1"/>
    <col min="8954" max="8954" width="20.83203125" style="160" customWidth="1"/>
    <col min="8955" max="8955" width="0" style="160" hidden="1" customWidth="1"/>
    <col min="8956" max="9203" width="9.1640625" style="160"/>
    <col min="9204" max="9204" width="21.5" style="160" customWidth="1"/>
    <col min="9205" max="9205" width="16.5" style="160" customWidth="1"/>
    <col min="9206" max="9206" width="18" style="160" customWidth="1"/>
    <col min="9207" max="9207" width="23.6640625" style="160" customWidth="1"/>
    <col min="9208" max="9208" width="26" style="160" customWidth="1"/>
    <col min="9209" max="9209" width="21.5" style="160" customWidth="1"/>
    <col min="9210" max="9210" width="20.83203125" style="160" customWidth="1"/>
    <col min="9211" max="9211" width="0" style="160" hidden="1" customWidth="1"/>
    <col min="9212" max="9459" width="9.1640625" style="160"/>
    <col min="9460" max="9460" width="21.5" style="160" customWidth="1"/>
    <col min="9461" max="9461" width="16.5" style="160" customWidth="1"/>
    <col min="9462" max="9462" width="18" style="160" customWidth="1"/>
    <col min="9463" max="9463" width="23.6640625" style="160" customWidth="1"/>
    <col min="9464" max="9464" width="26" style="160" customWidth="1"/>
    <col min="9465" max="9465" width="21.5" style="160" customWidth="1"/>
    <col min="9466" max="9466" width="20.83203125" style="160" customWidth="1"/>
    <col min="9467" max="9467" width="0" style="160" hidden="1" customWidth="1"/>
    <col min="9468" max="9715" width="9.1640625" style="160"/>
    <col min="9716" max="9716" width="21.5" style="160" customWidth="1"/>
    <col min="9717" max="9717" width="16.5" style="160" customWidth="1"/>
    <col min="9718" max="9718" width="18" style="160" customWidth="1"/>
    <col min="9719" max="9719" width="23.6640625" style="160" customWidth="1"/>
    <col min="9720" max="9720" width="26" style="160" customWidth="1"/>
    <col min="9721" max="9721" width="21.5" style="160" customWidth="1"/>
    <col min="9722" max="9722" width="20.83203125" style="160" customWidth="1"/>
    <col min="9723" max="9723" width="0" style="160" hidden="1" customWidth="1"/>
    <col min="9724" max="9971" width="9.1640625" style="160"/>
    <col min="9972" max="9972" width="21.5" style="160" customWidth="1"/>
    <col min="9973" max="9973" width="16.5" style="160" customWidth="1"/>
    <col min="9974" max="9974" width="18" style="160" customWidth="1"/>
    <col min="9975" max="9975" width="23.6640625" style="160" customWidth="1"/>
    <col min="9976" max="9976" width="26" style="160" customWidth="1"/>
    <col min="9977" max="9977" width="21.5" style="160" customWidth="1"/>
    <col min="9978" max="9978" width="20.83203125" style="160" customWidth="1"/>
    <col min="9979" max="9979" width="0" style="160" hidden="1" customWidth="1"/>
    <col min="9980" max="10227" width="9.1640625" style="160"/>
    <col min="10228" max="10228" width="21.5" style="160" customWidth="1"/>
    <col min="10229" max="10229" width="16.5" style="160" customWidth="1"/>
    <col min="10230" max="10230" width="18" style="160" customWidth="1"/>
    <col min="10231" max="10231" width="23.6640625" style="160" customWidth="1"/>
    <col min="10232" max="10232" width="26" style="160" customWidth="1"/>
    <col min="10233" max="10233" width="21.5" style="160" customWidth="1"/>
    <col min="10234" max="10234" width="20.83203125" style="160" customWidth="1"/>
    <col min="10235" max="10235" width="0" style="160" hidden="1" customWidth="1"/>
    <col min="10236" max="10483" width="9.1640625" style="160"/>
    <col min="10484" max="10484" width="21.5" style="160" customWidth="1"/>
    <col min="10485" max="10485" width="16.5" style="160" customWidth="1"/>
    <col min="10486" max="10486" width="18" style="160" customWidth="1"/>
    <col min="10487" max="10487" width="23.6640625" style="160" customWidth="1"/>
    <col min="10488" max="10488" width="26" style="160" customWidth="1"/>
    <col min="10489" max="10489" width="21.5" style="160" customWidth="1"/>
    <col min="10490" max="10490" width="20.83203125" style="160" customWidth="1"/>
    <col min="10491" max="10491" width="0" style="160" hidden="1" customWidth="1"/>
    <col min="10492" max="10739" width="9.1640625" style="160"/>
    <col min="10740" max="10740" width="21.5" style="160" customWidth="1"/>
    <col min="10741" max="10741" width="16.5" style="160" customWidth="1"/>
    <col min="10742" max="10742" width="18" style="160" customWidth="1"/>
    <col min="10743" max="10743" width="23.6640625" style="160" customWidth="1"/>
    <col min="10744" max="10744" width="26" style="160" customWidth="1"/>
    <col min="10745" max="10745" width="21.5" style="160" customWidth="1"/>
    <col min="10746" max="10746" width="20.83203125" style="160" customWidth="1"/>
    <col min="10747" max="10747" width="0" style="160" hidden="1" customWidth="1"/>
    <col min="10748" max="10995" width="9.1640625" style="160"/>
    <col min="10996" max="10996" width="21.5" style="160" customWidth="1"/>
    <col min="10997" max="10997" width="16.5" style="160" customWidth="1"/>
    <col min="10998" max="10998" width="18" style="160" customWidth="1"/>
    <col min="10999" max="10999" width="23.6640625" style="160" customWidth="1"/>
    <col min="11000" max="11000" width="26" style="160" customWidth="1"/>
    <col min="11001" max="11001" width="21.5" style="160" customWidth="1"/>
    <col min="11002" max="11002" width="20.83203125" style="160" customWidth="1"/>
    <col min="11003" max="11003" width="0" style="160" hidden="1" customWidth="1"/>
    <col min="11004" max="11251" width="9.1640625" style="160"/>
    <col min="11252" max="11252" width="21.5" style="160" customWidth="1"/>
    <col min="11253" max="11253" width="16.5" style="160" customWidth="1"/>
    <col min="11254" max="11254" width="18" style="160" customWidth="1"/>
    <col min="11255" max="11255" width="23.6640625" style="160" customWidth="1"/>
    <col min="11256" max="11256" width="26" style="160" customWidth="1"/>
    <col min="11257" max="11257" width="21.5" style="160" customWidth="1"/>
    <col min="11258" max="11258" width="20.83203125" style="160" customWidth="1"/>
    <col min="11259" max="11259" width="0" style="160" hidden="1" customWidth="1"/>
    <col min="11260" max="11507" width="9.1640625" style="160"/>
    <col min="11508" max="11508" width="21.5" style="160" customWidth="1"/>
    <col min="11509" max="11509" width="16.5" style="160" customWidth="1"/>
    <col min="11510" max="11510" width="18" style="160" customWidth="1"/>
    <col min="11511" max="11511" width="23.6640625" style="160" customWidth="1"/>
    <col min="11512" max="11512" width="26" style="160" customWidth="1"/>
    <col min="11513" max="11513" width="21.5" style="160" customWidth="1"/>
    <col min="11514" max="11514" width="20.83203125" style="160" customWidth="1"/>
    <col min="11515" max="11515" width="0" style="160" hidden="1" customWidth="1"/>
    <col min="11516" max="11763" width="9.1640625" style="160"/>
    <col min="11764" max="11764" width="21.5" style="160" customWidth="1"/>
    <col min="11765" max="11765" width="16.5" style="160" customWidth="1"/>
    <col min="11766" max="11766" width="18" style="160" customWidth="1"/>
    <col min="11767" max="11767" width="23.6640625" style="160" customWidth="1"/>
    <col min="11768" max="11768" width="26" style="160" customWidth="1"/>
    <col min="11769" max="11769" width="21.5" style="160" customWidth="1"/>
    <col min="11770" max="11770" width="20.83203125" style="160" customWidth="1"/>
    <col min="11771" max="11771" width="0" style="160" hidden="1" customWidth="1"/>
    <col min="11772" max="12019" width="9.1640625" style="160"/>
    <col min="12020" max="12020" width="21.5" style="160" customWidth="1"/>
    <col min="12021" max="12021" width="16.5" style="160" customWidth="1"/>
    <col min="12022" max="12022" width="18" style="160" customWidth="1"/>
    <col min="12023" max="12023" width="23.6640625" style="160" customWidth="1"/>
    <col min="12024" max="12024" width="26" style="160" customWidth="1"/>
    <col min="12025" max="12025" width="21.5" style="160" customWidth="1"/>
    <col min="12026" max="12026" width="20.83203125" style="160" customWidth="1"/>
    <col min="12027" max="12027" width="0" style="160" hidden="1" customWidth="1"/>
    <col min="12028" max="12275" width="9.1640625" style="160"/>
    <col min="12276" max="12276" width="21.5" style="160" customWidth="1"/>
    <col min="12277" max="12277" width="16.5" style="160" customWidth="1"/>
    <col min="12278" max="12278" width="18" style="160" customWidth="1"/>
    <col min="12279" max="12279" width="23.6640625" style="160" customWidth="1"/>
    <col min="12280" max="12280" width="26" style="160" customWidth="1"/>
    <col min="12281" max="12281" width="21.5" style="160" customWidth="1"/>
    <col min="12282" max="12282" width="20.83203125" style="160" customWidth="1"/>
    <col min="12283" max="12283" width="0" style="160" hidden="1" customWidth="1"/>
    <col min="12284" max="12531" width="9.1640625" style="160"/>
    <col min="12532" max="12532" width="21.5" style="160" customWidth="1"/>
    <col min="12533" max="12533" width="16.5" style="160" customWidth="1"/>
    <col min="12534" max="12534" width="18" style="160" customWidth="1"/>
    <col min="12535" max="12535" width="23.6640625" style="160" customWidth="1"/>
    <col min="12536" max="12536" width="26" style="160" customWidth="1"/>
    <col min="12537" max="12537" width="21.5" style="160" customWidth="1"/>
    <col min="12538" max="12538" width="20.83203125" style="160" customWidth="1"/>
    <col min="12539" max="12539" width="0" style="160" hidden="1" customWidth="1"/>
    <col min="12540" max="12787" width="9.1640625" style="160"/>
    <col min="12788" max="12788" width="21.5" style="160" customWidth="1"/>
    <col min="12789" max="12789" width="16.5" style="160" customWidth="1"/>
    <col min="12790" max="12790" width="18" style="160" customWidth="1"/>
    <col min="12791" max="12791" width="23.6640625" style="160" customWidth="1"/>
    <col min="12792" max="12792" width="26" style="160" customWidth="1"/>
    <col min="12793" max="12793" width="21.5" style="160" customWidth="1"/>
    <col min="12794" max="12794" width="20.83203125" style="160" customWidth="1"/>
    <col min="12795" max="12795" width="0" style="160" hidden="1" customWidth="1"/>
    <col min="12796" max="13043" width="9.1640625" style="160"/>
    <col min="13044" max="13044" width="21.5" style="160" customWidth="1"/>
    <col min="13045" max="13045" width="16.5" style="160" customWidth="1"/>
    <col min="13046" max="13046" width="18" style="160" customWidth="1"/>
    <col min="13047" max="13047" width="23.6640625" style="160" customWidth="1"/>
    <col min="13048" max="13048" width="26" style="160" customWidth="1"/>
    <col min="13049" max="13049" width="21.5" style="160" customWidth="1"/>
    <col min="13050" max="13050" width="20.83203125" style="160" customWidth="1"/>
    <col min="13051" max="13051" width="0" style="160" hidden="1" customWidth="1"/>
    <col min="13052" max="13299" width="9.1640625" style="160"/>
    <col min="13300" max="13300" width="21.5" style="160" customWidth="1"/>
    <col min="13301" max="13301" width="16.5" style="160" customWidth="1"/>
    <col min="13302" max="13302" width="18" style="160" customWidth="1"/>
    <col min="13303" max="13303" width="23.6640625" style="160" customWidth="1"/>
    <col min="13304" max="13304" width="26" style="160" customWidth="1"/>
    <col min="13305" max="13305" width="21.5" style="160" customWidth="1"/>
    <col min="13306" max="13306" width="20.83203125" style="160" customWidth="1"/>
    <col min="13307" max="13307" width="0" style="160" hidden="1" customWidth="1"/>
    <col min="13308" max="13555" width="9.1640625" style="160"/>
    <col min="13556" max="13556" width="21.5" style="160" customWidth="1"/>
    <col min="13557" max="13557" width="16.5" style="160" customWidth="1"/>
    <col min="13558" max="13558" width="18" style="160" customWidth="1"/>
    <col min="13559" max="13559" width="23.6640625" style="160" customWidth="1"/>
    <col min="13560" max="13560" width="26" style="160" customWidth="1"/>
    <col min="13561" max="13561" width="21.5" style="160" customWidth="1"/>
    <col min="13562" max="13562" width="20.83203125" style="160" customWidth="1"/>
    <col min="13563" max="13563" width="0" style="160" hidden="1" customWidth="1"/>
    <col min="13564" max="13811" width="9.1640625" style="160"/>
    <col min="13812" max="13812" width="21.5" style="160" customWidth="1"/>
    <col min="13813" max="13813" width="16.5" style="160" customWidth="1"/>
    <col min="13814" max="13814" width="18" style="160" customWidth="1"/>
    <col min="13815" max="13815" width="23.6640625" style="160" customWidth="1"/>
    <col min="13816" max="13816" width="26" style="160" customWidth="1"/>
    <col min="13817" max="13817" width="21.5" style="160" customWidth="1"/>
    <col min="13818" max="13818" width="20.83203125" style="160" customWidth="1"/>
    <col min="13819" max="13819" width="0" style="160" hidden="1" customWidth="1"/>
    <col min="13820" max="14067" width="9.1640625" style="160"/>
    <col min="14068" max="14068" width="21.5" style="160" customWidth="1"/>
    <col min="14069" max="14069" width="16.5" style="160" customWidth="1"/>
    <col min="14070" max="14070" width="18" style="160" customWidth="1"/>
    <col min="14071" max="14071" width="23.6640625" style="160" customWidth="1"/>
    <col min="14072" max="14072" width="26" style="160" customWidth="1"/>
    <col min="14073" max="14073" width="21.5" style="160" customWidth="1"/>
    <col min="14074" max="14074" width="20.83203125" style="160" customWidth="1"/>
    <col min="14075" max="14075" width="0" style="160" hidden="1" customWidth="1"/>
    <col min="14076" max="14323" width="9.1640625" style="160"/>
    <col min="14324" max="14324" width="21.5" style="160" customWidth="1"/>
    <col min="14325" max="14325" width="16.5" style="160" customWidth="1"/>
    <col min="14326" max="14326" width="18" style="160" customWidth="1"/>
    <col min="14327" max="14327" width="23.6640625" style="160" customWidth="1"/>
    <col min="14328" max="14328" width="26" style="160" customWidth="1"/>
    <col min="14329" max="14329" width="21.5" style="160" customWidth="1"/>
    <col min="14330" max="14330" width="20.83203125" style="160" customWidth="1"/>
    <col min="14331" max="14331" width="0" style="160" hidden="1" customWidth="1"/>
    <col min="14332" max="14579" width="9.1640625" style="160"/>
    <col min="14580" max="14580" width="21.5" style="160" customWidth="1"/>
    <col min="14581" max="14581" width="16.5" style="160" customWidth="1"/>
    <col min="14582" max="14582" width="18" style="160" customWidth="1"/>
    <col min="14583" max="14583" width="23.6640625" style="160" customWidth="1"/>
    <col min="14584" max="14584" width="26" style="160" customWidth="1"/>
    <col min="14585" max="14585" width="21.5" style="160" customWidth="1"/>
    <col min="14586" max="14586" width="20.83203125" style="160" customWidth="1"/>
    <col min="14587" max="14587" width="0" style="160" hidden="1" customWidth="1"/>
    <col min="14588" max="14835" width="9.1640625" style="160"/>
    <col min="14836" max="14836" width="21.5" style="160" customWidth="1"/>
    <col min="14837" max="14837" width="16.5" style="160" customWidth="1"/>
    <col min="14838" max="14838" width="18" style="160" customWidth="1"/>
    <col min="14839" max="14839" width="23.6640625" style="160" customWidth="1"/>
    <col min="14840" max="14840" width="26" style="160" customWidth="1"/>
    <col min="14841" max="14841" width="21.5" style="160" customWidth="1"/>
    <col min="14842" max="14842" width="20.83203125" style="160" customWidth="1"/>
    <col min="14843" max="14843" width="0" style="160" hidden="1" customWidth="1"/>
    <col min="14844" max="15091" width="9.1640625" style="160"/>
    <col min="15092" max="15092" width="21.5" style="160" customWidth="1"/>
    <col min="15093" max="15093" width="16.5" style="160" customWidth="1"/>
    <col min="15094" max="15094" width="18" style="160" customWidth="1"/>
    <col min="15095" max="15095" width="23.6640625" style="160" customWidth="1"/>
    <col min="15096" max="15096" width="26" style="160" customWidth="1"/>
    <col min="15097" max="15097" width="21.5" style="160" customWidth="1"/>
    <col min="15098" max="15098" width="20.83203125" style="160" customWidth="1"/>
    <col min="15099" max="15099" width="0" style="160" hidden="1" customWidth="1"/>
    <col min="15100" max="15347" width="9.1640625" style="160"/>
    <col min="15348" max="15348" width="21.5" style="160" customWidth="1"/>
    <col min="15349" max="15349" width="16.5" style="160" customWidth="1"/>
    <col min="15350" max="15350" width="18" style="160" customWidth="1"/>
    <col min="15351" max="15351" width="23.6640625" style="160" customWidth="1"/>
    <col min="15352" max="15352" width="26" style="160" customWidth="1"/>
    <col min="15353" max="15353" width="21.5" style="160" customWidth="1"/>
    <col min="15354" max="15354" width="20.83203125" style="160" customWidth="1"/>
    <col min="15355" max="15355" width="0" style="160" hidden="1" customWidth="1"/>
    <col min="15356" max="15603" width="9.1640625" style="160"/>
    <col min="15604" max="15604" width="21.5" style="160" customWidth="1"/>
    <col min="15605" max="15605" width="16.5" style="160" customWidth="1"/>
    <col min="15606" max="15606" width="18" style="160" customWidth="1"/>
    <col min="15607" max="15607" width="23.6640625" style="160" customWidth="1"/>
    <col min="15608" max="15608" width="26" style="160" customWidth="1"/>
    <col min="15609" max="15609" width="21.5" style="160" customWidth="1"/>
    <col min="15610" max="15610" width="20.83203125" style="160" customWidth="1"/>
    <col min="15611" max="15611" width="0" style="160" hidden="1" customWidth="1"/>
    <col min="15612" max="15859" width="9.1640625" style="160"/>
    <col min="15860" max="15860" width="21.5" style="160" customWidth="1"/>
    <col min="15861" max="15861" width="16.5" style="160" customWidth="1"/>
    <col min="15862" max="15862" width="18" style="160" customWidth="1"/>
    <col min="15863" max="15863" width="23.6640625" style="160" customWidth="1"/>
    <col min="15864" max="15864" width="26" style="160" customWidth="1"/>
    <col min="15865" max="15865" width="21.5" style="160" customWidth="1"/>
    <col min="15866" max="15866" width="20.83203125" style="160" customWidth="1"/>
    <col min="15867" max="15867" width="0" style="160" hidden="1" customWidth="1"/>
    <col min="15868" max="16115" width="9.1640625" style="160"/>
    <col min="16116" max="16116" width="21.5" style="160" customWidth="1"/>
    <col min="16117" max="16117" width="16.5" style="160" customWidth="1"/>
    <col min="16118" max="16118" width="18" style="160" customWidth="1"/>
    <col min="16119" max="16119" width="23.6640625" style="160" customWidth="1"/>
    <col min="16120" max="16120" width="26" style="160" customWidth="1"/>
    <col min="16121" max="16121" width="21.5" style="160" customWidth="1"/>
    <col min="16122" max="16122" width="20.83203125" style="160" customWidth="1"/>
    <col min="16123" max="16123" width="0" style="160" hidden="1" customWidth="1"/>
    <col min="16124" max="16384" width="9.1640625" style="160"/>
  </cols>
  <sheetData>
    <row r="1" spans="2:15" ht="9" customHeight="1"/>
    <row r="2" spans="2:15" ht="30" customHeight="1">
      <c r="B2" s="197" t="s">
        <v>225</v>
      </c>
      <c r="C2" s="198"/>
      <c r="D2" s="198"/>
      <c r="E2" s="198"/>
      <c r="F2" s="198"/>
      <c r="G2" s="198"/>
      <c r="H2" s="198"/>
      <c r="I2" s="198"/>
      <c r="J2" s="199"/>
    </row>
    <row r="3" spans="2:15" ht="30" customHeight="1">
      <c r="B3" s="798" t="s">
        <v>206</v>
      </c>
      <c r="C3" s="799"/>
      <c r="D3" s="799"/>
      <c r="E3" s="799"/>
      <c r="F3" s="799"/>
      <c r="G3" s="799"/>
      <c r="H3" s="799"/>
      <c r="I3" s="799"/>
      <c r="J3" s="800"/>
    </row>
    <row r="4" spans="2:15" ht="15" customHeight="1" thickBot="1">
      <c r="B4" s="322"/>
      <c r="C4" s="322"/>
      <c r="D4" s="322"/>
      <c r="E4" s="322"/>
      <c r="F4" s="322"/>
      <c r="G4" s="322"/>
      <c r="H4" s="322"/>
      <c r="I4" s="322"/>
      <c r="J4" s="322"/>
    </row>
    <row r="5" spans="2:15" ht="45" customHeight="1" thickBot="1">
      <c r="B5" s="803" t="s">
        <v>319</v>
      </c>
      <c r="C5" s="804"/>
      <c r="D5" s="805"/>
      <c r="E5" s="322"/>
      <c r="F5" s="798" t="s">
        <v>204</v>
      </c>
      <c r="G5" s="799"/>
      <c r="H5" s="799"/>
      <c r="I5" s="799"/>
      <c r="J5" s="800"/>
    </row>
    <row r="6" spans="2:15" ht="15" thickBot="1">
      <c r="B6" s="479" t="s">
        <v>50</v>
      </c>
      <c r="C6" s="480" t="s">
        <v>61</v>
      </c>
      <c r="D6" s="481" t="s">
        <v>60</v>
      </c>
      <c r="E6" s="174"/>
      <c r="F6" s="323" t="s">
        <v>205</v>
      </c>
      <c r="G6" s="323" t="s">
        <v>205</v>
      </c>
      <c r="H6" s="323" t="s">
        <v>205</v>
      </c>
      <c r="I6" s="323" t="s">
        <v>205</v>
      </c>
      <c r="J6" s="323" t="s">
        <v>205</v>
      </c>
      <c r="K6" s="323" t="s">
        <v>205</v>
      </c>
      <c r="L6" s="323" t="s">
        <v>205</v>
      </c>
      <c r="M6" s="323" t="s">
        <v>205</v>
      </c>
      <c r="N6" s="323" t="s">
        <v>205</v>
      </c>
      <c r="O6" s="323" t="s">
        <v>205</v>
      </c>
    </row>
    <row r="7" spans="2:15" s="722" customFormat="1" ht="30" customHeight="1">
      <c r="B7" s="720" t="s">
        <v>419</v>
      </c>
      <c r="C7" s="717" t="s">
        <v>52</v>
      </c>
      <c r="D7" s="718">
        <f>'Cash Flow'!G84</f>
        <v>11.349999999999998</v>
      </c>
      <c r="E7" s="721"/>
      <c r="F7" s="718"/>
      <c r="G7" s="718"/>
      <c r="H7" s="718"/>
      <c r="I7" s="718"/>
      <c r="J7" s="718"/>
      <c r="K7" s="718"/>
      <c r="L7" s="718"/>
      <c r="M7" s="718"/>
      <c r="N7" s="718"/>
      <c r="O7" s="719"/>
    </row>
    <row r="8" spans="2:15" ht="15.75" customHeight="1">
      <c r="B8" s="200" t="s">
        <v>199</v>
      </c>
      <c r="C8" s="201" t="s">
        <v>1</v>
      </c>
      <c r="D8" s="324">
        <f>Inputs!$Q$24</f>
        <v>0</v>
      </c>
      <c r="E8" s="256"/>
      <c r="F8" s="324"/>
      <c r="G8" s="324"/>
      <c r="H8" s="324"/>
      <c r="I8" s="324"/>
      <c r="J8" s="324"/>
      <c r="K8" s="324"/>
      <c r="L8" s="324"/>
      <c r="M8" s="324"/>
      <c r="N8" s="324"/>
      <c r="O8" s="531"/>
    </row>
    <row r="9" spans="2:15" ht="15.75" customHeight="1">
      <c r="B9" s="202" t="s">
        <v>103</v>
      </c>
      <c r="C9" s="203" t="s">
        <v>1</v>
      </c>
      <c r="D9" s="324">
        <f>Inputs!$Q$23</f>
        <v>0</v>
      </c>
      <c r="E9" s="256"/>
      <c r="F9" s="324"/>
      <c r="G9" s="324"/>
      <c r="H9" s="324"/>
      <c r="I9" s="324"/>
      <c r="J9" s="324"/>
      <c r="K9" s="324"/>
      <c r="L9" s="324"/>
      <c r="M9" s="324"/>
      <c r="N9" s="324"/>
      <c r="O9" s="531"/>
    </row>
    <row r="10" spans="2:15" ht="30">
      <c r="B10" s="494" t="s">
        <v>297</v>
      </c>
      <c r="C10" s="495"/>
      <c r="D10" s="486" t="str">
        <f>IF(Inputs!$G$68="Pass","Yes","No, see Inputs Worksheet")</f>
        <v>No, see Inputs Worksheet</v>
      </c>
      <c r="E10" s="174"/>
      <c r="F10" s="530"/>
      <c r="G10" s="530"/>
      <c r="H10" s="530"/>
      <c r="I10" s="530"/>
      <c r="J10" s="530"/>
      <c r="K10" s="530"/>
      <c r="L10" s="530"/>
      <c r="M10" s="530"/>
      <c r="N10" s="530"/>
      <c r="O10" s="530"/>
    </row>
    <row r="11" spans="2:15" ht="15">
      <c r="B11" s="496" t="s">
        <v>298</v>
      </c>
      <c r="C11" s="497"/>
      <c r="D11" s="486" t="str">
        <f>IF(Inputs!$G$71="Pass","Yes","No, see Inputs Worksheet")</f>
        <v>Yes</v>
      </c>
      <c r="E11" s="174"/>
      <c r="F11" s="530"/>
      <c r="G11" s="530"/>
      <c r="H11" s="530"/>
      <c r="I11" s="530"/>
      <c r="J11" s="530"/>
      <c r="K11" s="530"/>
      <c r="L11" s="530"/>
      <c r="M11" s="530"/>
      <c r="N11" s="530"/>
      <c r="O11" s="532"/>
    </row>
    <row r="12" spans="2:15" ht="15.75" customHeight="1">
      <c r="B12" s="469" t="s">
        <v>311</v>
      </c>
      <c r="C12" s="467"/>
      <c r="D12" s="468"/>
      <c r="E12" s="174"/>
      <c r="F12" s="529"/>
      <c r="G12" s="529"/>
      <c r="H12" s="529"/>
      <c r="I12" s="529"/>
      <c r="J12" s="529"/>
      <c r="K12" s="529"/>
      <c r="L12" s="529"/>
      <c r="M12" s="529"/>
      <c r="N12" s="529"/>
      <c r="O12" s="529"/>
    </row>
    <row r="13" spans="2:15" ht="15.75" customHeight="1">
      <c r="B13" s="336"/>
      <c r="C13" s="201"/>
      <c r="D13" s="337"/>
      <c r="E13" s="174"/>
      <c r="F13" s="337"/>
      <c r="G13" s="337"/>
      <c r="H13" s="337"/>
      <c r="I13" s="337"/>
      <c r="J13" s="337"/>
      <c r="K13" s="337"/>
      <c r="L13" s="337"/>
      <c r="M13" s="337"/>
      <c r="N13" s="337"/>
      <c r="O13" s="337"/>
    </row>
    <row r="14" spans="2:15" s="722" customFormat="1" ht="30" customHeight="1">
      <c r="B14" s="723" t="s">
        <v>420</v>
      </c>
      <c r="C14" s="724" t="s">
        <v>52</v>
      </c>
      <c r="D14" s="725">
        <f>-PMT(Inputs!$G$73,Inputs!$Q$22,NPV(Inputs!$G$73,'Cash Flow'!G17:AJ17))</f>
        <v>11.349999999999993</v>
      </c>
      <c r="E14" s="726"/>
      <c r="F14" s="725"/>
      <c r="G14" s="725"/>
      <c r="H14" s="725"/>
      <c r="I14" s="725"/>
      <c r="J14" s="725"/>
      <c r="K14" s="725"/>
      <c r="L14" s="725"/>
      <c r="M14" s="725"/>
      <c r="N14" s="725"/>
      <c r="O14" s="725"/>
    </row>
    <row r="15" spans="2:15" s="180" customFormat="1">
      <c r="C15" s="204"/>
      <c r="D15" s="205"/>
      <c r="E15" s="179"/>
      <c r="F15" s="205"/>
      <c r="G15" s="205"/>
      <c r="H15" s="205"/>
      <c r="I15" s="205"/>
      <c r="J15" s="205"/>
      <c r="K15" s="205"/>
      <c r="L15" s="205"/>
      <c r="M15" s="205"/>
      <c r="N15" s="205"/>
      <c r="O15" s="205"/>
    </row>
    <row r="16" spans="2:15" s="180" customFormat="1" ht="15.75" customHeight="1">
      <c r="B16" s="206" t="s">
        <v>49</v>
      </c>
      <c r="C16" s="341"/>
      <c r="D16" s="340"/>
      <c r="E16" s="174"/>
      <c r="F16" s="339"/>
      <c r="G16" s="339"/>
      <c r="H16" s="339"/>
      <c r="I16" s="339"/>
      <c r="J16" s="339"/>
      <c r="K16" s="339"/>
      <c r="L16" s="339"/>
      <c r="M16" s="339"/>
      <c r="N16" s="339"/>
      <c r="O16" s="339"/>
    </row>
    <row r="17" spans="2:15" s="180" customFormat="1" ht="15.75" customHeight="1">
      <c r="B17" s="700"/>
      <c r="C17" s="699"/>
      <c r="D17" s="701"/>
      <c r="E17" s="174"/>
      <c r="F17" s="702"/>
      <c r="G17" s="702"/>
      <c r="H17" s="702"/>
      <c r="I17" s="702"/>
      <c r="J17" s="702"/>
      <c r="K17" s="702"/>
      <c r="L17" s="702"/>
      <c r="M17" s="702"/>
      <c r="N17" s="702"/>
      <c r="O17" s="702"/>
    </row>
    <row r="18" spans="2:15">
      <c r="B18" s="200" t="s">
        <v>28</v>
      </c>
      <c r="C18" s="201" t="str">
        <f>Inputs!F7</f>
        <v>kW</v>
      </c>
      <c r="D18" s="525">
        <f>Inputs!G7</f>
        <v>500</v>
      </c>
      <c r="E18" s="209"/>
      <c r="F18" s="707"/>
      <c r="G18" s="527"/>
      <c r="H18" s="526"/>
      <c r="I18" s="526"/>
      <c r="J18" s="526"/>
      <c r="K18" s="526"/>
      <c r="L18" s="527"/>
      <c r="M18" s="526"/>
      <c r="N18" s="526"/>
      <c r="O18" s="526"/>
    </row>
    <row r="19" spans="2:15">
      <c r="B19" s="736" t="str">
        <f>Inputs!E9</f>
        <v>Biogas Consumption per Year</v>
      </c>
      <c r="C19" s="201" t="str">
        <f>Inputs!F9</f>
        <v>cubic feet/year</v>
      </c>
      <c r="D19" s="525">
        <f>Inputs!G9</f>
        <v>77634077.922077924</v>
      </c>
      <c r="E19" s="209"/>
      <c r="F19" s="707"/>
      <c r="G19" s="527"/>
      <c r="H19" s="526"/>
      <c r="I19" s="526"/>
      <c r="J19" s="526"/>
      <c r="K19" s="526"/>
      <c r="L19" s="527"/>
      <c r="M19" s="526"/>
      <c r="N19" s="526"/>
      <c r="O19" s="526"/>
    </row>
    <row r="20" spans="2:15">
      <c r="B20" s="736" t="str">
        <f>Inputs!E10</f>
        <v>Energy Content per Cubic Foot</v>
      </c>
      <c r="C20" s="201" t="str">
        <f>Inputs!F10</f>
        <v>BTU/cubic foot</v>
      </c>
      <c r="D20" s="525">
        <f>Inputs!G10</f>
        <v>550</v>
      </c>
      <c r="E20" s="209"/>
      <c r="F20" s="707"/>
      <c r="G20" s="527"/>
      <c r="H20" s="526"/>
      <c r="I20" s="526"/>
      <c r="J20" s="526"/>
      <c r="K20" s="526"/>
      <c r="L20" s="527"/>
      <c r="M20" s="526"/>
      <c r="N20" s="526"/>
      <c r="O20" s="526"/>
    </row>
    <row r="21" spans="2:15">
      <c r="B21" s="736" t="str">
        <f>Inputs!E13</f>
        <v>Heat Rate</v>
      </c>
      <c r="C21" s="201" t="str">
        <f>Inputs!F13</f>
        <v>BTU/kWh</v>
      </c>
      <c r="D21" s="525">
        <f>Inputs!G13</f>
        <v>9748.5714285714294</v>
      </c>
      <c r="E21" s="209"/>
      <c r="F21" s="707"/>
      <c r="G21" s="527"/>
      <c r="H21" s="526"/>
      <c r="I21" s="526"/>
      <c r="J21" s="526"/>
      <c r="K21" s="526"/>
      <c r="L21" s="527"/>
      <c r="M21" s="526"/>
      <c r="N21" s="526"/>
      <c r="O21" s="526"/>
    </row>
    <row r="22" spans="2:15">
      <c r="B22" s="736" t="str">
        <f>Inputs!E14</f>
        <v>Availability</v>
      </c>
      <c r="C22" s="201" t="str">
        <f>Inputs!F14</f>
        <v>%</v>
      </c>
      <c r="D22" s="697">
        <f>Inputs!G14</f>
        <v>0.92</v>
      </c>
      <c r="E22" s="211"/>
      <c r="F22" s="708"/>
      <c r="G22" s="212"/>
      <c r="H22" s="210"/>
      <c r="I22" s="210"/>
      <c r="J22" s="210"/>
      <c r="K22" s="210"/>
      <c r="L22" s="212"/>
      <c r="M22" s="210"/>
      <c r="N22" s="210"/>
      <c r="O22" s="210"/>
    </row>
    <row r="23" spans="2:15">
      <c r="B23" s="736" t="str">
        <f>Inputs!E15</f>
        <v>Station Service (Parasitic Load)</v>
      </c>
      <c r="C23" s="201" t="str">
        <f>Inputs!F15</f>
        <v>%</v>
      </c>
      <c r="D23" s="697">
        <f>Inputs!G15</f>
        <v>0.1</v>
      </c>
      <c r="E23" s="211"/>
      <c r="F23" s="708"/>
      <c r="G23" s="212"/>
      <c r="H23" s="210"/>
      <c r="I23" s="210"/>
      <c r="J23" s="210"/>
      <c r="K23" s="210"/>
      <c r="L23" s="212"/>
      <c r="M23" s="210"/>
      <c r="N23" s="210"/>
      <c r="O23" s="210"/>
    </row>
    <row r="24" spans="2:15">
      <c r="B24" s="200" t="s">
        <v>274</v>
      </c>
      <c r="C24" s="201" t="s">
        <v>2</v>
      </c>
      <c r="D24" s="525">
        <f>Inputs!G16</f>
        <v>3626640</v>
      </c>
      <c r="E24" s="211"/>
      <c r="F24" s="707"/>
      <c r="G24" s="212"/>
      <c r="H24" s="210"/>
      <c r="I24" s="210"/>
      <c r="J24" s="210"/>
      <c r="K24" s="210"/>
      <c r="L24" s="212"/>
      <c r="M24" s="210"/>
      <c r="N24" s="210"/>
      <c r="O24" s="210"/>
    </row>
    <row r="25" spans="2:15">
      <c r="B25" s="200" t="s">
        <v>212</v>
      </c>
      <c r="C25" s="201" t="s">
        <v>51</v>
      </c>
      <c r="D25" s="213">
        <f>Inputs!G18</f>
        <v>20</v>
      </c>
      <c r="E25" s="211"/>
      <c r="F25" s="709"/>
      <c r="G25" s="212"/>
      <c r="H25" s="210"/>
      <c r="I25" s="210"/>
      <c r="J25" s="210"/>
      <c r="K25" s="210"/>
      <c r="L25" s="212"/>
      <c r="M25" s="210"/>
      <c r="N25" s="210"/>
      <c r="O25" s="210"/>
    </row>
    <row r="26" spans="2:15">
      <c r="B26" s="200" t="s">
        <v>402</v>
      </c>
      <c r="C26" s="201" t="s">
        <v>51</v>
      </c>
      <c r="D26" s="213">
        <f>Inputs!$Q$22</f>
        <v>20</v>
      </c>
      <c r="E26" s="207"/>
      <c r="F26" s="709"/>
      <c r="G26" s="208"/>
      <c r="H26" s="213"/>
      <c r="I26" s="213"/>
      <c r="J26" s="213"/>
      <c r="K26" s="213"/>
      <c r="L26" s="309"/>
      <c r="M26" s="213"/>
      <c r="N26" s="213"/>
      <c r="O26" s="213"/>
    </row>
    <row r="27" spans="2:15">
      <c r="B27" s="200" t="s">
        <v>404</v>
      </c>
      <c r="C27" s="201" t="s">
        <v>1</v>
      </c>
      <c r="D27" s="697">
        <f>Inputs!Q23</f>
        <v>0</v>
      </c>
      <c r="E27" s="207"/>
      <c r="F27" s="710"/>
      <c r="G27" s="693"/>
      <c r="H27" s="213"/>
      <c r="I27" s="213"/>
      <c r="J27" s="213"/>
      <c r="K27" s="213"/>
      <c r="L27" s="693"/>
      <c r="M27" s="213"/>
      <c r="N27" s="213"/>
      <c r="O27" s="213"/>
    </row>
    <row r="28" spans="2:15">
      <c r="B28" s="200"/>
      <c r="C28" s="201"/>
      <c r="D28" s="213"/>
      <c r="E28" s="207"/>
      <c r="F28" s="709"/>
      <c r="G28" s="208"/>
      <c r="H28" s="213"/>
      <c r="I28" s="213"/>
      <c r="J28" s="213"/>
      <c r="K28" s="213"/>
      <c r="L28" s="309"/>
      <c r="M28" s="213"/>
      <c r="N28" s="213"/>
      <c r="O28" s="213"/>
    </row>
    <row r="29" spans="2:15">
      <c r="B29" s="200" t="s">
        <v>405</v>
      </c>
      <c r="C29" s="201" t="s">
        <v>0</v>
      </c>
      <c r="D29" s="214">
        <f>Inputs!$G29-Inputs!$G$80</f>
        <v>3750000</v>
      </c>
      <c r="E29" s="215"/>
      <c r="F29" s="711"/>
      <c r="G29" s="216"/>
      <c r="H29" s="214"/>
      <c r="I29" s="214"/>
      <c r="J29" s="214"/>
      <c r="K29" s="214"/>
      <c r="L29" s="216"/>
      <c r="M29" s="214"/>
      <c r="N29" s="214"/>
      <c r="O29" s="214"/>
    </row>
    <row r="30" spans="2:15" ht="15">
      <c r="B30" s="200" t="s">
        <v>405</v>
      </c>
      <c r="C30" s="217" t="s">
        <v>327</v>
      </c>
      <c r="D30" s="214">
        <f>D29/D18</f>
        <v>7500</v>
      </c>
      <c r="E30" s="218"/>
      <c r="F30" s="711"/>
      <c r="G30" s="216"/>
      <c r="H30" s="214"/>
      <c r="I30" s="214"/>
      <c r="J30" s="214"/>
      <c r="K30" s="214"/>
      <c r="L30" s="216"/>
      <c r="M30" s="214"/>
      <c r="N30" s="214"/>
      <c r="O30" s="214"/>
    </row>
    <row r="31" spans="2:15">
      <c r="B31" s="200"/>
      <c r="C31" s="201"/>
      <c r="D31" s="214"/>
      <c r="E31" s="218"/>
      <c r="F31" s="711"/>
      <c r="G31" s="216"/>
      <c r="H31" s="214"/>
      <c r="I31" s="214"/>
      <c r="J31" s="214"/>
      <c r="K31" s="214"/>
      <c r="L31" s="216"/>
      <c r="M31" s="214"/>
      <c r="N31" s="214"/>
      <c r="O31" s="214"/>
    </row>
    <row r="32" spans="2:15">
      <c r="B32" s="200" t="s">
        <v>453</v>
      </c>
      <c r="C32" s="201"/>
      <c r="D32" s="214"/>
      <c r="E32" s="218"/>
      <c r="F32" s="711"/>
      <c r="G32" s="216"/>
      <c r="H32" s="214"/>
      <c r="I32" s="214"/>
      <c r="J32" s="214"/>
      <c r="K32" s="214"/>
      <c r="L32" s="216"/>
      <c r="M32" s="214"/>
      <c r="N32" s="214"/>
      <c r="O32" s="214"/>
    </row>
    <row r="33" spans="2:15">
      <c r="B33" s="736" t="str">
        <f>Inputs!O7</f>
        <v>Tipping Fee - Source #1</v>
      </c>
      <c r="C33" s="201" t="str">
        <f>Inputs!P7</f>
        <v>$/ton</v>
      </c>
      <c r="D33" s="737">
        <f>Inputs!Q7</f>
        <v>30</v>
      </c>
      <c r="E33" s="218"/>
      <c r="F33" s="711"/>
      <c r="G33" s="216"/>
      <c r="H33" s="214"/>
      <c r="I33" s="214"/>
      <c r="J33" s="214"/>
      <c r="K33" s="214"/>
      <c r="L33" s="216"/>
      <c r="M33" s="214"/>
      <c r="N33" s="214"/>
      <c r="O33" s="214"/>
    </row>
    <row r="34" spans="2:15">
      <c r="B34" s="736" t="str">
        <f>Inputs!O8</f>
        <v>Quantity Received Each Year</v>
      </c>
      <c r="C34" s="201" t="str">
        <f>Inputs!P8</f>
        <v>tons per year</v>
      </c>
      <c r="D34" s="525">
        <f>Inputs!Q8</f>
        <v>10000</v>
      </c>
      <c r="E34" s="218"/>
      <c r="F34" s="711"/>
      <c r="G34" s="216"/>
      <c r="H34" s="214"/>
      <c r="I34" s="214"/>
      <c r="J34" s="214"/>
      <c r="K34" s="214"/>
      <c r="L34" s="216"/>
      <c r="M34" s="214"/>
      <c r="N34" s="214"/>
      <c r="O34" s="214"/>
    </row>
    <row r="35" spans="2:15">
      <c r="B35" s="736" t="str">
        <f>Inputs!O9</f>
        <v>Tipping Fee - Source #2</v>
      </c>
      <c r="C35" s="201" t="str">
        <f>Inputs!P9</f>
        <v>$/ton</v>
      </c>
      <c r="D35" s="737">
        <f>Inputs!Q9</f>
        <v>0</v>
      </c>
      <c r="E35" s="218"/>
      <c r="F35" s="711"/>
      <c r="G35" s="216"/>
      <c r="H35" s="214"/>
      <c r="I35" s="214"/>
      <c r="J35" s="214"/>
      <c r="K35" s="214"/>
      <c r="L35" s="216"/>
      <c r="M35" s="214"/>
      <c r="N35" s="214"/>
      <c r="O35" s="214"/>
    </row>
    <row r="36" spans="2:15">
      <c r="B36" s="736" t="str">
        <f>Inputs!O10</f>
        <v>Quantity Received Each Year</v>
      </c>
      <c r="C36" s="201" t="str">
        <f>Inputs!P10</f>
        <v>tons per year</v>
      </c>
      <c r="D36" s="525">
        <f>Inputs!Q10</f>
        <v>0</v>
      </c>
      <c r="E36" s="218"/>
      <c r="F36" s="711"/>
      <c r="G36" s="216"/>
      <c r="H36" s="214"/>
      <c r="I36" s="214"/>
      <c r="J36" s="214"/>
      <c r="K36" s="214"/>
      <c r="L36" s="216"/>
      <c r="M36" s="214"/>
      <c r="N36" s="214"/>
      <c r="O36" s="214"/>
    </row>
    <row r="37" spans="2:15">
      <c r="B37" s="736" t="str">
        <f>Inputs!O11</f>
        <v>Tipping Fee - Source #3</v>
      </c>
      <c r="C37" s="201" t="str">
        <f>Inputs!P11</f>
        <v>$/ton</v>
      </c>
      <c r="D37" s="737">
        <f>Inputs!Q11</f>
        <v>0</v>
      </c>
      <c r="E37" s="218"/>
      <c r="F37" s="711"/>
      <c r="G37" s="216"/>
      <c r="H37" s="214"/>
      <c r="I37" s="214"/>
      <c r="J37" s="214"/>
      <c r="K37" s="214"/>
      <c r="L37" s="216"/>
      <c r="M37" s="214"/>
      <c r="N37" s="214"/>
      <c r="O37" s="214"/>
    </row>
    <row r="38" spans="2:15">
      <c r="B38" s="736" t="str">
        <f>Inputs!O12</f>
        <v>Quantity Received Each Year</v>
      </c>
      <c r="C38" s="201" t="str">
        <f>Inputs!P12</f>
        <v>tons per year</v>
      </c>
      <c r="D38" s="525">
        <f>Inputs!Q12</f>
        <v>0</v>
      </c>
      <c r="E38" s="218"/>
      <c r="F38" s="711"/>
      <c r="G38" s="216"/>
      <c r="H38" s="214"/>
      <c r="I38" s="214"/>
      <c r="J38" s="214"/>
      <c r="K38" s="214"/>
      <c r="L38" s="216"/>
      <c r="M38" s="214"/>
      <c r="N38" s="214"/>
      <c r="O38" s="214"/>
    </row>
    <row r="39" spans="2:15">
      <c r="B39" s="200"/>
      <c r="C39" s="201"/>
      <c r="D39" s="214"/>
      <c r="E39" s="218"/>
      <c r="F39" s="711"/>
      <c r="G39" s="216"/>
      <c r="H39" s="214"/>
      <c r="I39" s="214"/>
      <c r="J39" s="214"/>
      <c r="K39" s="214"/>
      <c r="L39" s="216"/>
      <c r="M39" s="214"/>
      <c r="N39" s="214"/>
      <c r="O39" s="214"/>
    </row>
    <row r="40" spans="2:15" ht="15">
      <c r="B40" s="200" t="s">
        <v>406</v>
      </c>
      <c r="C40" s="201" t="s">
        <v>412</v>
      </c>
      <c r="D40" s="698">
        <f>'Cash Flow'!G49</f>
        <v>-9.6752917300862507</v>
      </c>
      <c r="E40" s="218"/>
      <c r="F40" s="712"/>
      <c r="G40" s="216"/>
      <c r="H40" s="214"/>
      <c r="I40" s="214"/>
      <c r="J40" s="214"/>
      <c r="K40" s="214"/>
      <c r="L40" s="216"/>
      <c r="M40" s="214"/>
      <c r="N40" s="214"/>
      <c r="O40" s="214"/>
    </row>
    <row r="41" spans="2:15">
      <c r="B41" s="200"/>
      <c r="C41" s="201"/>
      <c r="D41" s="213"/>
      <c r="E41" s="207"/>
      <c r="F41" s="709"/>
      <c r="G41" s="208"/>
      <c r="H41" s="213"/>
      <c r="I41" s="213"/>
      <c r="J41" s="213"/>
      <c r="K41" s="213"/>
      <c r="L41" s="309"/>
      <c r="M41" s="213"/>
      <c r="N41" s="213"/>
      <c r="O41" s="213"/>
    </row>
    <row r="42" spans="2:15" ht="15">
      <c r="B42" s="200" t="s">
        <v>482</v>
      </c>
      <c r="C42" s="217" t="s">
        <v>1</v>
      </c>
      <c r="D42" s="219">
        <f>Inputs!$G72</f>
        <v>0.44999999999999996</v>
      </c>
      <c r="E42" s="220"/>
      <c r="F42" s="713"/>
      <c r="G42" s="221"/>
      <c r="H42" s="219"/>
      <c r="I42" s="219"/>
      <c r="J42" s="219"/>
      <c r="K42" s="219"/>
      <c r="L42" s="221"/>
      <c r="M42" s="219"/>
      <c r="N42" s="219"/>
      <c r="O42" s="219"/>
    </row>
    <row r="43" spans="2:15">
      <c r="B43" s="200" t="s">
        <v>267</v>
      </c>
      <c r="C43" s="201" t="s">
        <v>1</v>
      </c>
      <c r="D43" s="325">
        <f>Inputs!$G73</f>
        <v>0.12</v>
      </c>
      <c r="E43" s="220"/>
      <c r="F43" s="714"/>
      <c r="G43" s="221"/>
      <c r="H43" s="219"/>
      <c r="I43" s="219"/>
      <c r="J43" s="219"/>
      <c r="K43" s="219"/>
      <c r="L43" s="221"/>
      <c r="M43" s="219"/>
      <c r="N43" s="219"/>
      <c r="O43" s="219"/>
    </row>
    <row r="44" spans="2:15" ht="15">
      <c r="B44" s="200" t="s">
        <v>245</v>
      </c>
      <c r="C44" s="217" t="s">
        <v>1</v>
      </c>
      <c r="D44" s="219">
        <f>Inputs!$G62</f>
        <v>0.55000000000000004</v>
      </c>
      <c r="E44" s="220"/>
      <c r="F44" s="713"/>
      <c r="G44" s="221"/>
      <c r="H44" s="219"/>
      <c r="I44" s="219"/>
      <c r="J44" s="219"/>
      <c r="K44" s="219"/>
      <c r="L44" s="221"/>
      <c r="M44" s="219"/>
      <c r="N44" s="219"/>
      <c r="O44" s="219"/>
    </row>
    <row r="45" spans="2:15" ht="15">
      <c r="B45" s="200" t="s">
        <v>407</v>
      </c>
      <c r="C45" s="217" t="s">
        <v>51</v>
      </c>
      <c r="D45" s="213">
        <f>IF(D44&gt;0%,Inputs!G63,"NA")</f>
        <v>13</v>
      </c>
      <c r="E45" s="220"/>
      <c r="F45" s="709"/>
      <c r="G45" s="221"/>
      <c r="H45" s="219"/>
      <c r="I45" s="219"/>
      <c r="J45" s="219"/>
      <c r="K45" s="219"/>
      <c r="L45" s="221"/>
      <c r="M45" s="219"/>
      <c r="N45" s="219"/>
      <c r="O45" s="219"/>
    </row>
    <row r="46" spans="2:15" ht="15">
      <c r="B46" s="200" t="s">
        <v>207</v>
      </c>
      <c r="C46" s="217" t="s">
        <v>1</v>
      </c>
      <c r="D46" s="325">
        <f>IF(D44&gt;0%,Inputs!$G64,"NA")</f>
        <v>7.0000000000000007E-2</v>
      </c>
      <c r="E46" s="220"/>
      <c r="F46" s="714"/>
      <c r="G46" s="221"/>
      <c r="H46" s="219"/>
      <c r="I46" s="219"/>
      <c r="J46" s="219"/>
      <c r="K46" s="219"/>
      <c r="L46" s="221"/>
      <c r="M46" s="219"/>
      <c r="N46" s="219"/>
      <c r="O46" s="219"/>
    </row>
    <row r="47" spans="2:15">
      <c r="B47" s="200" t="s">
        <v>15</v>
      </c>
      <c r="C47" s="693"/>
      <c r="D47" s="219" t="str">
        <f>Inputs!$G$84</f>
        <v>Yes</v>
      </c>
      <c r="E47" s="221"/>
      <c r="F47" s="713"/>
      <c r="G47" s="221"/>
      <c r="H47" s="219"/>
      <c r="I47" s="219"/>
      <c r="J47" s="219"/>
      <c r="K47" s="219"/>
      <c r="L47" s="221"/>
      <c r="M47" s="219"/>
      <c r="N47" s="219"/>
      <c r="O47" s="219"/>
    </row>
    <row r="48" spans="2:15">
      <c r="B48" s="200" t="s">
        <v>408</v>
      </c>
      <c r="C48" s="693"/>
      <c r="D48" s="219" t="str">
        <f>IF($D$47="Yes",Inputs!G86,"NA")</f>
        <v>As Generated</v>
      </c>
      <c r="E48" s="221"/>
      <c r="F48" s="713"/>
      <c r="G48" s="221"/>
      <c r="H48" s="219"/>
      <c r="I48" s="219"/>
      <c r="J48" s="219"/>
      <c r="K48" s="219"/>
      <c r="L48" s="221"/>
      <c r="M48" s="219"/>
      <c r="N48" s="219"/>
      <c r="O48" s="219"/>
    </row>
    <row r="49" spans="2:15">
      <c r="B49" s="200" t="s">
        <v>409</v>
      </c>
      <c r="C49" s="693"/>
      <c r="D49" s="219" t="str">
        <f>IF($D$47="Yes",Inputs!G88,"NA")</f>
        <v>As Generated</v>
      </c>
      <c r="E49" s="221"/>
      <c r="F49" s="713"/>
      <c r="G49" s="221"/>
      <c r="H49" s="219"/>
      <c r="I49" s="219"/>
      <c r="J49" s="219"/>
      <c r="K49" s="219"/>
      <c r="L49" s="221"/>
      <c r="M49" s="219"/>
      <c r="N49" s="219"/>
      <c r="O49" s="219"/>
    </row>
    <row r="50" spans="2:15">
      <c r="B50" s="695"/>
      <c r="C50" s="693"/>
      <c r="D50" s="219"/>
      <c r="E50" s="221"/>
      <c r="F50" s="713"/>
      <c r="G50" s="221"/>
      <c r="H50" s="219"/>
      <c r="I50" s="219"/>
      <c r="J50" s="219"/>
      <c r="K50" s="219"/>
      <c r="L50" s="221"/>
      <c r="M50" s="219"/>
      <c r="N50" s="219"/>
      <c r="O50" s="219"/>
    </row>
    <row r="51" spans="2:15">
      <c r="B51" s="200" t="s">
        <v>300</v>
      </c>
      <c r="C51" s="201"/>
      <c r="D51" s="214" t="str">
        <f>Inputs!Q33</f>
        <v>Performance-Based</v>
      </c>
      <c r="E51" s="221"/>
      <c r="F51" s="711"/>
      <c r="G51" s="221"/>
      <c r="H51" s="219"/>
      <c r="I51" s="219"/>
      <c r="J51" s="219"/>
      <c r="K51" s="219"/>
      <c r="L51" s="221"/>
      <c r="M51" s="219"/>
      <c r="N51" s="219"/>
      <c r="O51" s="219"/>
    </row>
    <row r="52" spans="2:15">
      <c r="B52" s="200" t="s">
        <v>403</v>
      </c>
      <c r="C52" s="201"/>
      <c r="D52" s="214" t="str">
        <f>IF($D$51="Cost-Based",Inputs!$Q$34,Inputs!$Q$38)</f>
        <v>Tax Credit</v>
      </c>
      <c r="E52" s="221"/>
      <c r="F52" s="711"/>
      <c r="G52" s="221"/>
      <c r="H52" s="219"/>
      <c r="I52" s="219"/>
      <c r="J52" s="219"/>
      <c r="K52" s="219"/>
      <c r="L52" s="221"/>
      <c r="M52" s="219"/>
      <c r="N52" s="219"/>
      <c r="O52" s="219"/>
    </row>
    <row r="53" spans="2:15">
      <c r="B53" s="200"/>
      <c r="C53" s="201"/>
      <c r="D53" s="214"/>
      <c r="E53" s="221"/>
      <c r="F53" s="711"/>
      <c r="G53" s="221"/>
      <c r="H53" s="219"/>
      <c r="I53" s="219"/>
      <c r="J53" s="219"/>
      <c r="K53" s="219"/>
      <c r="L53" s="221"/>
      <c r="M53" s="219"/>
      <c r="N53" s="219"/>
      <c r="O53" s="219"/>
    </row>
    <row r="54" spans="2:15">
      <c r="B54" s="200" t="s">
        <v>176</v>
      </c>
      <c r="C54" s="223"/>
      <c r="D54" s="213" t="str">
        <f>IF(AND(Inputs!$Q$43=0,Inputs!$Q$59=0),"No","Yes")</f>
        <v>No</v>
      </c>
      <c r="E54" s="221"/>
      <c r="F54" s="709"/>
      <c r="G54" s="221"/>
      <c r="H54" s="219"/>
      <c r="I54" s="219"/>
      <c r="J54" s="219"/>
      <c r="K54" s="219"/>
      <c r="L54" s="221"/>
      <c r="M54" s="219"/>
      <c r="N54" s="219"/>
      <c r="O54" s="219"/>
    </row>
    <row r="55" spans="2:15">
      <c r="B55" s="336" t="s">
        <v>410</v>
      </c>
      <c r="C55" s="201" t="s">
        <v>0</v>
      </c>
      <c r="D55" s="214" t="str">
        <f>IF(D54="No","NA",Inputs!$G$80)</f>
        <v>NA</v>
      </c>
      <c r="E55" s="221"/>
      <c r="F55" s="711"/>
      <c r="G55" s="221"/>
      <c r="H55" s="219"/>
      <c r="I55" s="219"/>
      <c r="J55" s="219"/>
      <c r="K55" s="219"/>
      <c r="L55" s="221"/>
      <c r="M55" s="219"/>
      <c r="N55" s="219"/>
      <c r="O55" s="219"/>
    </row>
    <row r="56" spans="2:15">
      <c r="B56" s="336"/>
      <c r="C56" s="201"/>
      <c r="D56" s="214"/>
      <c r="E56" s="221"/>
      <c r="F56" s="711"/>
      <c r="G56" s="221"/>
      <c r="H56" s="219"/>
      <c r="I56" s="219"/>
      <c r="J56" s="219"/>
      <c r="K56" s="219"/>
      <c r="L56" s="221"/>
      <c r="M56" s="219"/>
      <c r="N56" s="219"/>
      <c r="O56" s="219"/>
    </row>
    <row r="57" spans="2:15">
      <c r="B57" s="696" t="s">
        <v>411</v>
      </c>
      <c r="C57" s="183"/>
      <c r="D57" s="222" t="str">
        <f>IF(Inputs!$G$84="No","NA",Inputs!P88)</f>
        <v>No</v>
      </c>
      <c r="E57" s="223"/>
      <c r="F57" s="715"/>
      <c r="G57" s="678"/>
      <c r="H57" s="222"/>
      <c r="I57" s="222"/>
      <c r="J57" s="222"/>
      <c r="K57" s="222"/>
      <c r="L57" s="678"/>
      <c r="M57" s="222"/>
      <c r="N57" s="222"/>
      <c r="O57" s="222"/>
    </row>
    <row r="58" spans="2:15" ht="150.75" customHeight="1">
      <c r="B58" s="447" t="s">
        <v>356</v>
      </c>
      <c r="C58" s="448"/>
      <c r="D58" s="338"/>
      <c r="F58" s="338"/>
      <c r="G58" s="338"/>
      <c r="H58" s="338"/>
      <c r="I58" s="338"/>
      <c r="J58" s="338"/>
      <c r="K58" s="338"/>
      <c r="L58" s="338"/>
      <c r="M58" s="338"/>
      <c r="N58" s="338"/>
      <c r="O58" s="338"/>
    </row>
    <row r="59" spans="2:15" ht="30" customHeight="1">
      <c r="B59" s="248"/>
      <c r="C59" s="248"/>
      <c r="D59" s="248"/>
      <c r="E59" s="248"/>
      <c r="F59" s="248"/>
      <c r="G59" s="248"/>
      <c r="H59" s="248"/>
      <c r="I59" s="248"/>
      <c r="J59" s="248"/>
    </row>
    <row r="60" spans="2:15" s="249" customFormat="1" ht="18">
      <c r="B60" s="248"/>
      <c r="C60" s="248"/>
      <c r="D60" s="250"/>
      <c r="E60" s="248"/>
      <c r="F60" s="248"/>
      <c r="G60" s="248"/>
      <c r="H60" s="248"/>
      <c r="I60" s="248"/>
      <c r="J60" s="248"/>
    </row>
    <row r="61" spans="2:15">
      <c r="B61" s="223"/>
      <c r="C61" s="223"/>
      <c r="D61" s="802"/>
      <c r="E61" s="802"/>
      <c r="F61" s="802"/>
      <c r="G61" s="802"/>
      <c r="H61" s="802"/>
      <c r="I61" s="802"/>
      <c r="J61" s="251"/>
      <c r="K61" s="223"/>
    </row>
    <row r="62" spans="2:15">
      <c r="B62" s="223"/>
      <c r="C62" s="245"/>
      <c r="D62" s="246"/>
      <c r="E62" s="246"/>
      <c r="F62" s="246"/>
      <c r="G62" s="246"/>
      <c r="H62" s="246"/>
      <c r="I62" s="246"/>
      <c r="J62" s="246"/>
      <c r="K62" s="223"/>
    </row>
    <row r="63" spans="2:15">
      <c r="B63" s="801"/>
      <c r="C63" s="247"/>
      <c r="D63" s="223"/>
      <c r="E63" s="223"/>
      <c r="F63" s="223"/>
      <c r="G63" s="223"/>
      <c r="H63" s="223"/>
      <c r="I63" s="223"/>
      <c r="J63" s="223"/>
      <c r="K63" s="223"/>
    </row>
    <row r="64" spans="2:15">
      <c r="B64" s="801"/>
      <c r="C64" s="247"/>
      <c r="D64" s="223"/>
      <c r="E64" s="223"/>
      <c r="F64" s="223"/>
      <c r="G64" s="223"/>
      <c r="H64" s="223"/>
      <c r="I64" s="223"/>
      <c r="J64" s="223"/>
      <c r="K64" s="223"/>
    </row>
    <row r="65" spans="2:11">
      <c r="B65" s="801"/>
      <c r="C65" s="247"/>
      <c r="D65" s="223"/>
      <c r="E65" s="223"/>
      <c r="F65" s="223"/>
      <c r="G65" s="223"/>
      <c r="H65" s="223"/>
      <c r="I65" s="223"/>
      <c r="J65" s="223"/>
      <c r="K65" s="223"/>
    </row>
    <row r="66" spans="2:11">
      <c r="B66" s="801"/>
      <c r="C66" s="247"/>
      <c r="D66" s="223"/>
      <c r="E66" s="223"/>
      <c r="F66" s="223"/>
      <c r="G66" s="223"/>
      <c r="H66" s="223"/>
      <c r="I66" s="223"/>
      <c r="J66" s="223"/>
      <c r="K66" s="223"/>
    </row>
    <row r="67" spans="2:11">
      <c r="B67" s="801"/>
      <c r="C67" s="247"/>
      <c r="D67" s="223"/>
      <c r="E67" s="223"/>
      <c r="F67" s="223"/>
      <c r="G67" s="223"/>
      <c r="H67" s="223"/>
      <c r="I67" s="223"/>
      <c r="J67" s="223"/>
      <c r="K67" s="223"/>
    </row>
    <row r="68" spans="2:11">
      <c r="B68" s="223"/>
      <c r="C68" s="223"/>
      <c r="D68" s="223"/>
      <c r="E68" s="223"/>
      <c r="F68" s="223"/>
      <c r="G68" s="223"/>
      <c r="H68" s="223"/>
      <c r="I68" s="223"/>
      <c r="J68" s="223"/>
      <c r="K68" s="223"/>
    </row>
    <row r="69" spans="2:11">
      <c r="B69" s="223"/>
      <c r="C69" s="223"/>
      <c r="D69" s="223"/>
      <c r="E69" s="223"/>
      <c r="F69" s="223"/>
      <c r="G69" s="223"/>
      <c r="H69" s="223"/>
      <c r="I69" s="223"/>
      <c r="J69" s="223"/>
      <c r="K69" s="223"/>
    </row>
    <row r="70" spans="2:11">
      <c r="B70" s="223"/>
      <c r="C70" s="223"/>
      <c r="D70" s="223"/>
      <c r="E70" s="223"/>
      <c r="F70" s="223"/>
      <c r="G70" s="223"/>
      <c r="H70" s="223"/>
      <c r="I70" s="223"/>
      <c r="J70" s="223"/>
      <c r="K70" s="223"/>
    </row>
    <row r="71" spans="2:11" ht="15.75" customHeight="1">
      <c r="B71" s="223"/>
      <c r="C71" s="223"/>
      <c r="D71" s="223"/>
      <c r="E71" s="223"/>
      <c r="F71" s="223"/>
      <c r="G71" s="223"/>
      <c r="H71" s="223"/>
      <c r="I71" s="223"/>
      <c r="J71" s="223"/>
      <c r="K71" s="223"/>
    </row>
    <row r="72" spans="2:11">
      <c r="B72" s="223"/>
      <c r="C72" s="223"/>
      <c r="D72" s="223"/>
      <c r="E72" s="223"/>
      <c r="F72" s="223"/>
      <c r="G72" s="223"/>
      <c r="H72" s="223"/>
      <c r="I72" s="223"/>
      <c r="J72" s="223"/>
      <c r="K72" s="223"/>
    </row>
    <row r="73" spans="2:11">
      <c r="B73" s="223"/>
      <c r="C73" s="223"/>
      <c r="D73" s="223"/>
      <c r="E73" s="223"/>
      <c r="F73" s="223"/>
      <c r="G73" s="223"/>
      <c r="H73" s="223"/>
      <c r="I73" s="223"/>
      <c r="J73" s="223"/>
      <c r="K73" s="223"/>
    </row>
    <row r="74" spans="2:11">
      <c r="B74" s="223"/>
      <c r="C74" s="223"/>
      <c r="D74" s="223"/>
      <c r="E74" s="223"/>
      <c r="F74" s="223"/>
      <c r="G74" s="223"/>
      <c r="H74" s="223"/>
      <c r="I74" s="223"/>
      <c r="J74" s="223"/>
      <c r="K74" s="223"/>
    </row>
    <row r="75" spans="2:11">
      <c r="B75" s="223"/>
      <c r="C75" s="223"/>
      <c r="D75" s="223"/>
      <c r="E75" s="223"/>
      <c r="F75" s="223"/>
      <c r="G75" s="223"/>
      <c r="H75" s="223"/>
      <c r="I75" s="223"/>
      <c r="J75" s="223"/>
      <c r="K75" s="223"/>
    </row>
    <row r="76" spans="2:11">
      <c r="B76" s="223"/>
      <c r="C76" s="223"/>
      <c r="D76" s="223"/>
      <c r="E76" s="223"/>
      <c r="F76" s="223"/>
      <c r="G76" s="223"/>
      <c r="H76" s="223"/>
      <c r="I76" s="223"/>
      <c r="J76" s="223"/>
      <c r="K76" s="223"/>
    </row>
    <row r="77" spans="2:11">
      <c r="B77" s="223"/>
      <c r="C77" s="223"/>
      <c r="D77" s="223"/>
      <c r="E77" s="223"/>
      <c r="F77" s="223"/>
      <c r="G77" s="223"/>
      <c r="H77" s="223"/>
      <c r="I77" s="223"/>
      <c r="J77" s="223"/>
      <c r="K77" s="223"/>
    </row>
  </sheetData>
  <protectedRanges>
    <protectedRange sqref="F6:O6" name="Scenario Names"/>
    <protectedRange sqref="D58 F7:O58" name="InputsOutputs"/>
  </protectedRanges>
  <mergeCells count="5">
    <mergeCell ref="B3:J3"/>
    <mergeCell ref="B63:B67"/>
    <mergeCell ref="D61:I61"/>
    <mergeCell ref="F5:J5"/>
    <mergeCell ref="B5:D5"/>
  </mergeCells>
  <conditionalFormatting sqref="D10">
    <cfRule type="expression" dxfId="9" priority="9">
      <formula>$D10="Yes"</formula>
    </cfRule>
  </conditionalFormatting>
  <conditionalFormatting sqref="D11">
    <cfRule type="expression" dxfId="8" priority="7">
      <formula>$D11="Yes"</formula>
    </cfRule>
  </conditionalFormatting>
  <conditionalFormatting sqref="B10:C10">
    <cfRule type="expression" dxfId="7" priority="6">
      <formula>$D$10="Yes"</formula>
    </cfRule>
  </conditionalFormatting>
  <conditionalFormatting sqref="B11:C11">
    <cfRule type="expression" dxfId="6" priority="5">
      <formula>$D$11="Yes"</formula>
    </cfRule>
  </conditionalFormatting>
  <pageMargins left="0.7" right="0.7" top="0.75" bottom="0.75" header="0.3" footer="0.3"/>
  <pageSetup orientation="portrait" horizontalDpi="4294967293"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S38"/>
  <sheetViews>
    <sheetView showGridLines="0" zoomScale="70" zoomScaleNormal="70" workbookViewId="0">
      <pane xSplit="1" ySplit="5" topLeftCell="B6" activePane="bottomRight" state="frozen"/>
      <selection pane="topRight" activeCell="B1" sqref="B1"/>
      <selection pane="bottomLeft" activeCell="A6" sqref="A6"/>
      <selection pane="bottomRight" activeCell="G8" sqref="G8"/>
    </sheetView>
  </sheetViews>
  <sheetFormatPr baseColWidth="10" defaultColWidth="8.83203125" defaultRowHeight="14"/>
  <cols>
    <col min="1" max="1" width="2.5" style="160" customWidth="1"/>
    <col min="2" max="2" width="9.6640625" style="160" customWidth="1"/>
    <col min="3" max="3" width="15" style="160" customWidth="1"/>
    <col min="4" max="4" width="12.83203125" style="160" customWidth="1"/>
    <col min="5" max="5" width="13.6640625" style="160" customWidth="1"/>
    <col min="6" max="6" width="14.6640625" style="160" customWidth="1"/>
    <col min="7" max="7" width="13" style="161" customWidth="1"/>
    <col min="8" max="8" width="12.5" style="160" customWidth="1"/>
    <col min="9" max="10" width="15.1640625" style="160" bestFit="1" customWidth="1"/>
    <col min="11" max="11" width="15.83203125" style="160" customWidth="1"/>
    <col min="12" max="12" width="14.5" style="160" customWidth="1"/>
    <col min="13" max="13" width="15.6640625" style="160" customWidth="1"/>
    <col min="14" max="14" width="16.5" style="160" customWidth="1"/>
    <col min="15" max="15" width="11.5" style="160" customWidth="1"/>
    <col min="16" max="16" width="11.1640625" style="160" customWidth="1"/>
    <col min="17" max="17" width="9.1640625" style="160"/>
    <col min="18" max="18" width="24.83203125" style="160" bestFit="1" customWidth="1"/>
    <col min="19" max="19" width="29.33203125" style="160" bestFit="1" customWidth="1"/>
    <col min="20" max="235" width="9.1640625" style="160"/>
    <col min="236" max="236" width="21.5" style="160" customWidth="1"/>
    <col min="237" max="237" width="16.5" style="160" customWidth="1"/>
    <col min="238" max="238" width="18" style="160" customWidth="1"/>
    <col min="239" max="239" width="23.6640625" style="160" customWidth="1"/>
    <col min="240" max="240" width="26" style="160" customWidth="1"/>
    <col min="241" max="241" width="21.5" style="160" customWidth="1"/>
    <col min="242" max="242" width="20.83203125" style="160" customWidth="1"/>
    <col min="243" max="243" width="0" style="160" hidden="1" customWidth="1"/>
    <col min="244" max="491" width="9.1640625" style="160"/>
    <col min="492" max="492" width="21.5" style="160" customWidth="1"/>
    <col min="493" max="493" width="16.5" style="160" customWidth="1"/>
    <col min="494" max="494" width="18" style="160" customWidth="1"/>
    <col min="495" max="495" width="23.6640625" style="160" customWidth="1"/>
    <col min="496" max="496" width="26" style="160" customWidth="1"/>
    <col min="497" max="497" width="21.5" style="160" customWidth="1"/>
    <col min="498" max="498" width="20.83203125" style="160" customWidth="1"/>
    <col min="499" max="499" width="0" style="160" hidden="1" customWidth="1"/>
    <col min="500" max="747" width="9.1640625" style="160"/>
    <col min="748" max="748" width="21.5" style="160" customWidth="1"/>
    <col min="749" max="749" width="16.5" style="160" customWidth="1"/>
    <col min="750" max="750" width="18" style="160" customWidth="1"/>
    <col min="751" max="751" width="23.6640625" style="160" customWidth="1"/>
    <col min="752" max="752" width="26" style="160" customWidth="1"/>
    <col min="753" max="753" width="21.5" style="160" customWidth="1"/>
    <col min="754" max="754" width="20.83203125" style="160" customWidth="1"/>
    <col min="755" max="755" width="0" style="160" hidden="1" customWidth="1"/>
    <col min="756" max="1003" width="9.1640625" style="160"/>
    <col min="1004" max="1004" width="21.5" style="160" customWidth="1"/>
    <col min="1005" max="1005" width="16.5" style="160" customWidth="1"/>
    <col min="1006" max="1006" width="18" style="160" customWidth="1"/>
    <col min="1007" max="1007" width="23.6640625" style="160" customWidth="1"/>
    <col min="1008" max="1008" width="26" style="160" customWidth="1"/>
    <col min="1009" max="1009" width="21.5" style="160" customWidth="1"/>
    <col min="1010" max="1010" width="20.83203125" style="160" customWidth="1"/>
    <col min="1011" max="1011" width="0" style="160" hidden="1" customWidth="1"/>
    <col min="1012" max="1259" width="9.1640625" style="160"/>
    <col min="1260" max="1260" width="21.5" style="160" customWidth="1"/>
    <col min="1261" max="1261" width="16.5" style="160" customWidth="1"/>
    <col min="1262" max="1262" width="18" style="160" customWidth="1"/>
    <col min="1263" max="1263" width="23.6640625" style="160" customWidth="1"/>
    <col min="1264" max="1264" width="26" style="160" customWidth="1"/>
    <col min="1265" max="1265" width="21.5" style="160" customWidth="1"/>
    <col min="1266" max="1266" width="20.83203125" style="160" customWidth="1"/>
    <col min="1267" max="1267" width="0" style="160" hidden="1" customWidth="1"/>
    <col min="1268" max="1515" width="9.1640625" style="160"/>
    <col min="1516" max="1516" width="21.5" style="160" customWidth="1"/>
    <col min="1517" max="1517" width="16.5" style="160" customWidth="1"/>
    <col min="1518" max="1518" width="18" style="160" customWidth="1"/>
    <col min="1519" max="1519" width="23.6640625" style="160" customWidth="1"/>
    <col min="1520" max="1520" width="26" style="160" customWidth="1"/>
    <col min="1521" max="1521" width="21.5" style="160" customWidth="1"/>
    <col min="1522" max="1522" width="20.83203125" style="160" customWidth="1"/>
    <col min="1523" max="1523" width="0" style="160" hidden="1" customWidth="1"/>
    <col min="1524" max="1771" width="9.1640625" style="160"/>
    <col min="1772" max="1772" width="21.5" style="160" customWidth="1"/>
    <col min="1773" max="1773" width="16.5" style="160" customWidth="1"/>
    <col min="1774" max="1774" width="18" style="160" customWidth="1"/>
    <col min="1775" max="1775" width="23.6640625" style="160" customWidth="1"/>
    <col min="1776" max="1776" width="26" style="160" customWidth="1"/>
    <col min="1777" max="1777" width="21.5" style="160" customWidth="1"/>
    <col min="1778" max="1778" width="20.83203125" style="160" customWidth="1"/>
    <col min="1779" max="1779" width="0" style="160" hidden="1" customWidth="1"/>
    <col min="1780" max="2027" width="9.1640625" style="160"/>
    <col min="2028" max="2028" width="21.5" style="160" customWidth="1"/>
    <col min="2029" max="2029" width="16.5" style="160" customWidth="1"/>
    <col min="2030" max="2030" width="18" style="160" customWidth="1"/>
    <col min="2031" max="2031" width="23.6640625" style="160" customWidth="1"/>
    <col min="2032" max="2032" width="26" style="160" customWidth="1"/>
    <col min="2033" max="2033" width="21.5" style="160" customWidth="1"/>
    <col min="2034" max="2034" width="20.83203125" style="160" customWidth="1"/>
    <col min="2035" max="2035" width="0" style="160" hidden="1" customWidth="1"/>
    <col min="2036" max="2283" width="9.1640625" style="160"/>
    <col min="2284" max="2284" width="21.5" style="160" customWidth="1"/>
    <col min="2285" max="2285" width="16.5" style="160" customWidth="1"/>
    <col min="2286" max="2286" width="18" style="160" customWidth="1"/>
    <col min="2287" max="2287" width="23.6640625" style="160" customWidth="1"/>
    <col min="2288" max="2288" width="26" style="160" customWidth="1"/>
    <col min="2289" max="2289" width="21.5" style="160" customWidth="1"/>
    <col min="2290" max="2290" width="20.83203125" style="160" customWidth="1"/>
    <col min="2291" max="2291" width="0" style="160" hidden="1" customWidth="1"/>
    <col min="2292" max="2539" width="9.1640625" style="160"/>
    <col min="2540" max="2540" width="21.5" style="160" customWidth="1"/>
    <col min="2541" max="2541" width="16.5" style="160" customWidth="1"/>
    <col min="2542" max="2542" width="18" style="160" customWidth="1"/>
    <col min="2543" max="2543" width="23.6640625" style="160" customWidth="1"/>
    <col min="2544" max="2544" width="26" style="160" customWidth="1"/>
    <col min="2545" max="2545" width="21.5" style="160" customWidth="1"/>
    <col min="2546" max="2546" width="20.83203125" style="160" customWidth="1"/>
    <col min="2547" max="2547" width="0" style="160" hidden="1" customWidth="1"/>
    <col min="2548" max="2795" width="9.1640625" style="160"/>
    <col min="2796" max="2796" width="21.5" style="160" customWidth="1"/>
    <col min="2797" max="2797" width="16.5" style="160" customWidth="1"/>
    <col min="2798" max="2798" width="18" style="160" customWidth="1"/>
    <col min="2799" max="2799" width="23.6640625" style="160" customWidth="1"/>
    <col min="2800" max="2800" width="26" style="160" customWidth="1"/>
    <col min="2801" max="2801" width="21.5" style="160" customWidth="1"/>
    <col min="2802" max="2802" width="20.83203125" style="160" customWidth="1"/>
    <col min="2803" max="2803" width="0" style="160" hidden="1" customWidth="1"/>
    <col min="2804" max="3051" width="9.1640625" style="160"/>
    <col min="3052" max="3052" width="21.5" style="160" customWidth="1"/>
    <col min="3053" max="3053" width="16.5" style="160" customWidth="1"/>
    <col min="3054" max="3054" width="18" style="160" customWidth="1"/>
    <col min="3055" max="3055" width="23.6640625" style="160" customWidth="1"/>
    <col min="3056" max="3056" width="26" style="160" customWidth="1"/>
    <col min="3057" max="3057" width="21.5" style="160" customWidth="1"/>
    <col min="3058" max="3058" width="20.83203125" style="160" customWidth="1"/>
    <col min="3059" max="3059" width="0" style="160" hidden="1" customWidth="1"/>
    <col min="3060" max="3307" width="9.1640625" style="160"/>
    <col min="3308" max="3308" width="21.5" style="160" customWidth="1"/>
    <col min="3309" max="3309" width="16.5" style="160" customWidth="1"/>
    <col min="3310" max="3310" width="18" style="160" customWidth="1"/>
    <col min="3311" max="3311" width="23.6640625" style="160" customWidth="1"/>
    <col min="3312" max="3312" width="26" style="160" customWidth="1"/>
    <col min="3313" max="3313" width="21.5" style="160" customWidth="1"/>
    <col min="3314" max="3314" width="20.83203125" style="160" customWidth="1"/>
    <col min="3315" max="3315" width="0" style="160" hidden="1" customWidth="1"/>
    <col min="3316" max="3563" width="9.1640625" style="160"/>
    <col min="3564" max="3564" width="21.5" style="160" customWidth="1"/>
    <col min="3565" max="3565" width="16.5" style="160" customWidth="1"/>
    <col min="3566" max="3566" width="18" style="160" customWidth="1"/>
    <col min="3567" max="3567" width="23.6640625" style="160" customWidth="1"/>
    <col min="3568" max="3568" width="26" style="160" customWidth="1"/>
    <col min="3569" max="3569" width="21.5" style="160" customWidth="1"/>
    <col min="3570" max="3570" width="20.83203125" style="160" customWidth="1"/>
    <col min="3571" max="3571" width="0" style="160" hidden="1" customWidth="1"/>
    <col min="3572" max="3819" width="9.1640625" style="160"/>
    <col min="3820" max="3820" width="21.5" style="160" customWidth="1"/>
    <col min="3821" max="3821" width="16.5" style="160" customWidth="1"/>
    <col min="3822" max="3822" width="18" style="160" customWidth="1"/>
    <col min="3823" max="3823" width="23.6640625" style="160" customWidth="1"/>
    <col min="3824" max="3824" width="26" style="160" customWidth="1"/>
    <col min="3825" max="3825" width="21.5" style="160" customWidth="1"/>
    <col min="3826" max="3826" width="20.83203125" style="160" customWidth="1"/>
    <col min="3827" max="3827" width="0" style="160" hidden="1" customWidth="1"/>
    <col min="3828" max="4075" width="9.1640625" style="160"/>
    <col min="4076" max="4076" width="21.5" style="160" customWidth="1"/>
    <col min="4077" max="4077" width="16.5" style="160" customWidth="1"/>
    <col min="4078" max="4078" width="18" style="160" customWidth="1"/>
    <col min="4079" max="4079" width="23.6640625" style="160" customWidth="1"/>
    <col min="4080" max="4080" width="26" style="160" customWidth="1"/>
    <col min="4081" max="4081" width="21.5" style="160" customWidth="1"/>
    <col min="4082" max="4082" width="20.83203125" style="160" customWidth="1"/>
    <col min="4083" max="4083" width="0" style="160" hidden="1" customWidth="1"/>
    <col min="4084" max="4331" width="9.1640625" style="160"/>
    <col min="4332" max="4332" width="21.5" style="160" customWidth="1"/>
    <col min="4333" max="4333" width="16.5" style="160" customWidth="1"/>
    <col min="4334" max="4334" width="18" style="160" customWidth="1"/>
    <col min="4335" max="4335" width="23.6640625" style="160" customWidth="1"/>
    <col min="4336" max="4336" width="26" style="160" customWidth="1"/>
    <col min="4337" max="4337" width="21.5" style="160" customWidth="1"/>
    <col min="4338" max="4338" width="20.83203125" style="160" customWidth="1"/>
    <col min="4339" max="4339" width="0" style="160" hidden="1" customWidth="1"/>
    <col min="4340" max="4587" width="9.1640625" style="160"/>
    <col min="4588" max="4588" width="21.5" style="160" customWidth="1"/>
    <col min="4589" max="4589" width="16.5" style="160" customWidth="1"/>
    <col min="4590" max="4590" width="18" style="160" customWidth="1"/>
    <col min="4591" max="4591" width="23.6640625" style="160" customWidth="1"/>
    <col min="4592" max="4592" width="26" style="160" customWidth="1"/>
    <col min="4593" max="4593" width="21.5" style="160" customWidth="1"/>
    <col min="4594" max="4594" width="20.83203125" style="160" customWidth="1"/>
    <col min="4595" max="4595" width="0" style="160" hidden="1" customWidth="1"/>
    <col min="4596" max="4843" width="9.1640625" style="160"/>
    <col min="4844" max="4844" width="21.5" style="160" customWidth="1"/>
    <col min="4845" max="4845" width="16.5" style="160" customWidth="1"/>
    <col min="4846" max="4846" width="18" style="160" customWidth="1"/>
    <col min="4847" max="4847" width="23.6640625" style="160" customWidth="1"/>
    <col min="4848" max="4848" width="26" style="160" customWidth="1"/>
    <col min="4849" max="4849" width="21.5" style="160" customWidth="1"/>
    <col min="4850" max="4850" width="20.83203125" style="160" customWidth="1"/>
    <col min="4851" max="4851" width="0" style="160" hidden="1" customWidth="1"/>
    <col min="4852" max="5099" width="9.1640625" style="160"/>
    <col min="5100" max="5100" width="21.5" style="160" customWidth="1"/>
    <col min="5101" max="5101" width="16.5" style="160" customWidth="1"/>
    <col min="5102" max="5102" width="18" style="160" customWidth="1"/>
    <col min="5103" max="5103" width="23.6640625" style="160" customWidth="1"/>
    <col min="5104" max="5104" width="26" style="160" customWidth="1"/>
    <col min="5105" max="5105" width="21.5" style="160" customWidth="1"/>
    <col min="5106" max="5106" width="20.83203125" style="160" customWidth="1"/>
    <col min="5107" max="5107" width="0" style="160" hidden="1" customWidth="1"/>
    <col min="5108" max="5355" width="9.1640625" style="160"/>
    <col min="5356" max="5356" width="21.5" style="160" customWidth="1"/>
    <col min="5357" max="5357" width="16.5" style="160" customWidth="1"/>
    <col min="5358" max="5358" width="18" style="160" customWidth="1"/>
    <col min="5359" max="5359" width="23.6640625" style="160" customWidth="1"/>
    <col min="5360" max="5360" width="26" style="160" customWidth="1"/>
    <col min="5361" max="5361" width="21.5" style="160" customWidth="1"/>
    <col min="5362" max="5362" width="20.83203125" style="160" customWidth="1"/>
    <col min="5363" max="5363" width="0" style="160" hidden="1" customWidth="1"/>
    <col min="5364" max="5611" width="9.1640625" style="160"/>
    <col min="5612" max="5612" width="21.5" style="160" customWidth="1"/>
    <col min="5613" max="5613" width="16.5" style="160" customWidth="1"/>
    <col min="5614" max="5614" width="18" style="160" customWidth="1"/>
    <col min="5615" max="5615" width="23.6640625" style="160" customWidth="1"/>
    <col min="5616" max="5616" width="26" style="160" customWidth="1"/>
    <col min="5617" max="5617" width="21.5" style="160" customWidth="1"/>
    <col min="5618" max="5618" width="20.83203125" style="160" customWidth="1"/>
    <col min="5619" max="5619" width="0" style="160" hidden="1" customWidth="1"/>
    <col min="5620" max="5867" width="9.1640625" style="160"/>
    <col min="5868" max="5868" width="21.5" style="160" customWidth="1"/>
    <col min="5869" max="5869" width="16.5" style="160" customWidth="1"/>
    <col min="5870" max="5870" width="18" style="160" customWidth="1"/>
    <col min="5871" max="5871" width="23.6640625" style="160" customWidth="1"/>
    <col min="5872" max="5872" width="26" style="160" customWidth="1"/>
    <col min="5873" max="5873" width="21.5" style="160" customWidth="1"/>
    <col min="5874" max="5874" width="20.83203125" style="160" customWidth="1"/>
    <col min="5875" max="5875" width="0" style="160" hidden="1" customWidth="1"/>
    <col min="5876" max="6123" width="9.1640625" style="160"/>
    <col min="6124" max="6124" width="21.5" style="160" customWidth="1"/>
    <col min="6125" max="6125" width="16.5" style="160" customWidth="1"/>
    <col min="6126" max="6126" width="18" style="160" customWidth="1"/>
    <col min="6127" max="6127" width="23.6640625" style="160" customWidth="1"/>
    <col min="6128" max="6128" width="26" style="160" customWidth="1"/>
    <col min="6129" max="6129" width="21.5" style="160" customWidth="1"/>
    <col min="6130" max="6130" width="20.83203125" style="160" customWidth="1"/>
    <col min="6131" max="6131" width="0" style="160" hidden="1" customWidth="1"/>
    <col min="6132" max="6379" width="9.1640625" style="160"/>
    <col min="6380" max="6380" width="21.5" style="160" customWidth="1"/>
    <col min="6381" max="6381" width="16.5" style="160" customWidth="1"/>
    <col min="6382" max="6382" width="18" style="160" customWidth="1"/>
    <col min="6383" max="6383" width="23.6640625" style="160" customWidth="1"/>
    <col min="6384" max="6384" width="26" style="160" customWidth="1"/>
    <col min="6385" max="6385" width="21.5" style="160" customWidth="1"/>
    <col min="6386" max="6386" width="20.83203125" style="160" customWidth="1"/>
    <col min="6387" max="6387" width="0" style="160" hidden="1" customWidth="1"/>
    <col min="6388" max="6635" width="9.1640625" style="160"/>
    <col min="6636" max="6636" width="21.5" style="160" customWidth="1"/>
    <col min="6637" max="6637" width="16.5" style="160" customWidth="1"/>
    <col min="6638" max="6638" width="18" style="160" customWidth="1"/>
    <col min="6639" max="6639" width="23.6640625" style="160" customWidth="1"/>
    <col min="6640" max="6640" width="26" style="160" customWidth="1"/>
    <col min="6641" max="6641" width="21.5" style="160" customWidth="1"/>
    <col min="6642" max="6642" width="20.83203125" style="160" customWidth="1"/>
    <col min="6643" max="6643" width="0" style="160" hidden="1" customWidth="1"/>
    <col min="6644" max="6891" width="9.1640625" style="160"/>
    <col min="6892" max="6892" width="21.5" style="160" customWidth="1"/>
    <col min="6893" max="6893" width="16.5" style="160" customWidth="1"/>
    <col min="6894" max="6894" width="18" style="160" customWidth="1"/>
    <col min="6895" max="6895" width="23.6640625" style="160" customWidth="1"/>
    <col min="6896" max="6896" width="26" style="160" customWidth="1"/>
    <col min="6897" max="6897" width="21.5" style="160" customWidth="1"/>
    <col min="6898" max="6898" width="20.83203125" style="160" customWidth="1"/>
    <col min="6899" max="6899" width="0" style="160" hidden="1" customWidth="1"/>
    <col min="6900" max="7147" width="9.1640625" style="160"/>
    <col min="7148" max="7148" width="21.5" style="160" customWidth="1"/>
    <col min="7149" max="7149" width="16.5" style="160" customWidth="1"/>
    <col min="7150" max="7150" width="18" style="160" customWidth="1"/>
    <col min="7151" max="7151" width="23.6640625" style="160" customWidth="1"/>
    <col min="7152" max="7152" width="26" style="160" customWidth="1"/>
    <col min="7153" max="7153" width="21.5" style="160" customWidth="1"/>
    <col min="7154" max="7154" width="20.83203125" style="160" customWidth="1"/>
    <col min="7155" max="7155" width="0" style="160" hidden="1" customWidth="1"/>
    <col min="7156" max="7403" width="9.1640625" style="160"/>
    <col min="7404" max="7404" width="21.5" style="160" customWidth="1"/>
    <col min="7405" max="7405" width="16.5" style="160" customWidth="1"/>
    <col min="7406" max="7406" width="18" style="160" customWidth="1"/>
    <col min="7407" max="7407" width="23.6640625" style="160" customWidth="1"/>
    <col min="7408" max="7408" width="26" style="160" customWidth="1"/>
    <col min="7409" max="7409" width="21.5" style="160" customWidth="1"/>
    <col min="7410" max="7410" width="20.83203125" style="160" customWidth="1"/>
    <col min="7411" max="7411" width="0" style="160" hidden="1" customWidth="1"/>
    <col min="7412" max="7659" width="9.1640625" style="160"/>
    <col min="7660" max="7660" width="21.5" style="160" customWidth="1"/>
    <col min="7661" max="7661" width="16.5" style="160" customWidth="1"/>
    <col min="7662" max="7662" width="18" style="160" customWidth="1"/>
    <col min="7663" max="7663" width="23.6640625" style="160" customWidth="1"/>
    <col min="7664" max="7664" width="26" style="160" customWidth="1"/>
    <col min="7665" max="7665" width="21.5" style="160" customWidth="1"/>
    <col min="7666" max="7666" width="20.83203125" style="160" customWidth="1"/>
    <col min="7667" max="7667" width="0" style="160" hidden="1" customWidth="1"/>
    <col min="7668" max="7915" width="9.1640625" style="160"/>
    <col min="7916" max="7916" width="21.5" style="160" customWidth="1"/>
    <col min="7917" max="7917" width="16.5" style="160" customWidth="1"/>
    <col min="7918" max="7918" width="18" style="160" customWidth="1"/>
    <col min="7919" max="7919" width="23.6640625" style="160" customWidth="1"/>
    <col min="7920" max="7920" width="26" style="160" customWidth="1"/>
    <col min="7921" max="7921" width="21.5" style="160" customWidth="1"/>
    <col min="7922" max="7922" width="20.83203125" style="160" customWidth="1"/>
    <col min="7923" max="7923" width="0" style="160" hidden="1" customWidth="1"/>
    <col min="7924" max="8171" width="9.1640625" style="160"/>
    <col min="8172" max="8172" width="21.5" style="160" customWidth="1"/>
    <col min="8173" max="8173" width="16.5" style="160" customWidth="1"/>
    <col min="8174" max="8174" width="18" style="160" customWidth="1"/>
    <col min="8175" max="8175" width="23.6640625" style="160" customWidth="1"/>
    <col min="8176" max="8176" width="26" style="160" customWidth="1"/>
    <col min="8177" max="8177" width="21.5" style="160" customWidth="1"/>
    <col min="8178" max="8178" width="20.83203125" style="160" customWidth="1"/>
    <col min="8179" max="8179" width="0" style="160" hidden="1" customWidth="1"/>
    <col min="8180" max="8427" width="9.1640625" style="160"/>
    <col min="8428" max="8428" width="21.5" style="160" customWidth="1"/>
    <col min="8429" max="8429" width="16.5" style="160" customWidth="1"/>
    <col min="8430" max="8430" width="18" style="160" customWidth="1"/>
    <col min="8431" max="8431" width="23.6640625" style="160" customWidth="1"/>
    <col min="8432" max="8432" width="26" style="160" customWidth="1"/>
    <col min="8433" max="8433" width="21.5" style="160" customWidth="1"/>
    <col min="8434" max="8434" width="20.83203125" style="160" customWidth="1"/>
    <col min="8435" max="8435" width="0" style="160" hidden="1" customWidth="1"/>
    <col min="8436" max="8683" width="9.1640625" style="160"/>
    <col min="8684" max="8684" width="21.5" style="160" customWidth="1"/>
    <col min="8685" max="8685" width="16.5" style="160" customWidth="1"/>
    <col min="8686" max="8686" width="18" style="160" customWidth="1"/>
    <col min="8687" max="8687" width="23.6640625" style="160" customWidth="1"/>
    <col min="8688" max="8688" width="26" style="160" customWidth="1"/>
    <col min="8689" max="8689" width="21.5" style="160" customWidth="1"/>
    <col min="8690" max="8690" width="20.83203125" style="160" customWidth="1"/>
    <col min="8691" max="8691" width="0" style="160" hidden="1" customWidth="1"/>
    <col min="8692" max="8939" width="9.1640625" style="160"/>
    <col min="8940" max="8940" width="21.5" style="160" customWidth="1"/>
    <col min="8941" max="8941" width="16.5" style="160" customWidth="1"/>
    <col min="8942" max="8942" width="18" style="160" customWidth="1"/>
    <col min="8943" max="8943" width="23.6640625" style="160" customWidth="1"/>
    <col min="8944" max="8944" width="26" style="160" customWidth="1"/>
    <col min="8945" max="8945" width="21.5" style="160" customWidth="1"/>
    <col min="8946" max="8946" width="20.83203125" style="160" customWidth="1"/>
    <col min="8947" max="8947" width="0" style="160" hidden="1" customWidth="1"/>
    <col min="8948" max="9195" width="9.1640625" style="160"/>
    <col min="9196" max="9196" width="21.5" style="160" customWidth="1"/>
    <col min="9197" max="9197" width="16.5" style="160" customWidth="1"/>
    <col min="9198" max="9198" width="18" style="160" customWidth="1"/>
    <col min="9199" max="9199" width="23.6640625" style="160" customWidth="1"/>
    <col min="9200" max="9200" width="26" style="160" customWidth="1"/>
    <col min="9201" max="9201" width="21.5" style="160" customWidth="1"/>
    <col min="9202" max="9202" width="20.83203125" style="160" customWidth="1"/>
    <col min="9203" max="9203" width="0" style="160" hidden="1" customWidth="1"/>
    <col min="9204" max="9451" width="9.1640625" style="160"/>
    <col min="9452" max="9452" width="21.5" style="160" customWidth="1"/>
    <col min="9453" max="9453" width="16.5" style="160" customWidth="1"/>
    <col min="9454" max="9454" width="18" style="160" customWidth="1"/>
    <col min="9455" max="9455" width="23.6640625" style="160" customWidth="1"/>
    <col min="9456" max="9456" width="26" style="160" customWidth="1"/>
    <col min="9457" max="9457" width="21.5" style="160" customWidth="1"/>
    <col min="9458" max="9458" width="20.83203125" style="160" customWidth="1"/>
    <col min="9459" max="9459" width="0" style="160" hidden="1" customWidth="1"/>
    <col min="9460" max="9707" width="9.1640625" style="160"/>
    <col min="9708" max="9708" width="21.5" style="160" customWidth="1"/>
    <col min="9709" max="9709" width="16.5" style="160" customWidth="1"/>
    <col min="9710" max="9710" width="18" style="160" customWidth="1"/>
    <col min="9711" max="9711" width="23.6640625" style="160" customWidth="1"/>
    <col min="9712" max="9712" width="26" style="160" customWidth="1"/>
    <col min="9713" max="9713" width="21.5" style="160" customWidth="1"/>
    <col min="9714" max="9714" width="20.83203125" style="160" customWidth="1"/>
    <col min="9715" max="9715" width="0" style="160" hidden="1" customWidth="1"/>
    <col min="9716" max="9963" width="9.1640625" style="160"/>
    <col min="9964" max="9964" width="21.5" style="160" customWidth="1"/>
    <col min="9965" max="9965" width="16.5" style="160" customWidth="1"/>
    <col min="9966" max="9966" width="18" style="160" customWidth="1"/>
    <col min="9967" max="9967" width="23.6640625" style="160" customWidth="1"/>
    <col min="9968" max="9968" width="26" style="160" customWidth="1"/>
    <col min="9969" max="9969" width="21.5" style="160" customWidth="1"/>
    <col min="9970" max="9970" width="20.83203125" style="160" customWidth="1"/>
    <col min="9971" max="9971" width="0" style="160" hidden="1" customWidth="1"/>
    <col min="9972" max="10219" width="9.1640625" style="160"/>
    <col min="10220" max="10220" width="21.5" style="160" customWidth="1"/>
    <col min="10221" max="10221" width="16.5" style="160" customWidth="1"/>
    <col min="10222" max="10222" width="18" style="160" customWidth="1"/>
    <col min="10223" max="10223" width="23.6640625" style="160" customWidth="1"/>
    <col min="10224" max="10224" width="26" style="160" customWidth="1"/>
    <col min="10225" max="10225" width="21.5" style="160" customWidth="1"/>
    <col min="10226" max="10226" width="20.83203125" style="160" customWidth="1"/>
    <col min="10227" max="10227" width="0" style="160" hidden="1" customWidth="1"/>
    <col min="10228" max="10475" width="9.1640625" style="160"/>
    <col min="10476" max="10476" width="21.5" style="160" customWidth="1"/>
    <col min="10477" max="10477" width="16.5" style="160" customWidth="1"/>
    <col min="10478" max="10478" width="18" style="160" customWidth="1"/>
    <col min="10479" max="10479" width="23.6640625" style="160" customWidth="1"/>
    <col min="10480" max="10480" width="26" style="160" customWidth="1"/>
    <col min="10481" max="10481" width="21.5" style="160" customWidth="1"/>
    <col min="10482" max="10482" width="20.83203125" style="160" customWidth="1"/>
    <col min="10483" max="10483" width="0" style="160" hidden="1" customWidth="1"/>
    <col min="10484" max="10731" width="9.1640625" style="160"/>
    <col min="10732" max="10732" width="21.5" style="160" customWidth="1"/>
    <col min="10733" max="10733" width="16.5" style="160" customWidth="1"/>
    <col min="10734" max="10734" width="18" style="160" customWidth="1"/>
    <col min="10735" max="10735" width="23.6640625" style="160" customWidth="1"/>
    <col min="10736" max="10736" width="26" style="160" customWidth="1"/>
    <col min="10737" max="10737" width="21.5" style="160" customWidth="1"/>
    <col min="10738" max="10738" width="20.83203125" style="160" customWidth="1"/>
    <col min="10739" max="10739" width="0" style="160" hidden="1" customWidth="1"/>
    <col min="10740" max="10987" width="9.1640625" style="160"/>
    <col min="10988" max="10988" width="21.5" style="160" customWidth="1"/>
    <col min="10989" max="10989" width="16.5" style="160" customWidth="1"/>
    <col min="10990" max="10990" width="18" style="160" customWidth="1"/>
    <col min="10991" max="10991" width="23.6640625" style="160" customWidth="1"/>
    <col min="10992" max="10992" width="26" style="160" customWidth="1"/>
    <col min="10993" max="10993" width="21.5" style="160" customWidth="1"/>
    <col min="10994" max="10994" width="20.83203125" style="160" customWidth="1"/>
    <col min="10995" max="10995" width="0" style="160" hidden="1" customWidth="1"/>
    <col min="10996" max="11243" width="9.1640625" style="160"/>
    <col min="11244" max="11244" width="21.5" style="160" customWidth="1"/>
    <col min="11245" max="11245" width="16.5" style="160" customWidth="1"/>
    <col min="11246" max="11246" width="18" style="160" customWidth="1"/>
    <col min="11247" max="11247" width="23.6640625" style="160" customWidth="1"/>
    <col min="11248" max="11248" width="26" style="160" customWidth="1"/>
    <col min="11249" max="11249" width="21.5" style="160" customWidth="1"/>
    <col min="11250" max="11250" width="20.83203125" style="160" customWidth="1"/>
    <col min="11251" max="11251" width="0" style="160" hidden="1" customWidth="1"/>
    <col min="11252" max="11499" width="9.1640625" style="160"/>
    <col min="11500" max="11500" width="21.5" style="160" customWidth="1"/>
    <col min="11501" max="11501" width="16.5" style="160" customWidth="1"/>
    <col min="11502" max="11502" width="18" style="160" customWidth="1"/>
    <col min="11503" max="11503" width="23.6640625" style="160" customWidth="1"/>
    <col min="11504" max="11504" width="26" style="160" customWidth="1"/>
    <col min="11505" max="11505" width="21.5" style="160" customWidth="1"/>
    <col min="11506" max="11506" width="20.83203125" style="160" customWidth="1"/>
    <col min="11507" max="11507" width="0" style="160" hidden="1" customWidth="1"/>
    <col min="11508" max="11755" width="9.1640625" style="160"/>
    <col min="11756" max="11756" width="21.5" style="160" customWidth="1"/>
    <col min="11757" max="11757" width="16.5" style="160" customWidth="1"/>
    <col min="11758" max="11758" width="18" style="160" customWidth="1"/>
    <col min="11759" max="11759" width="23.6640625" style="160" customWidth="1"/>
    <col min="11760" max="11760" width="26" style="160" customWidth="1"/>
    <col min="11761" max="11761" width="21.5" style="160" customWidth="1"/>
    <col min="11762" max="11762" width="20.83203125" style="160" customWidth="1"/>
    <col min="11763" max="11763" width="0" style="160" hidden="1" customWidth="1"/>
    <col min="11764" max="12011" width="9.1640625" style="160"/>
    <col min="12012" max="12012" width="21.5" style="160" customWidth="1"/>
    <col min="12013" max="12013" width="16.5" style="160" customWidth="1"/>
    <col min="12014" max="12014" width="18" style="160" customWidth="1"/>
    <col min="12015" max="12015" width="23.6640625" style="160" customWidth="1"/>
    <col min="12016" max="12016" width="26" style="160" customWidth="1"/>
    <col min="12017" max="12017" width="21.5" style="160" customWidth="1"/>
    <col min="12018" max="12018" width="20.83203125" style="160" customWidth="1"/>
    <col min="12019" max="12019" width="0" style="160" hidden="1" customWidth="1"/>
    <col min="12020" max="12267" width="9.1640625" style="160"/>
    <col min="12268" max="12268" width="21.5" style="160" customWidth="1"/>
    <col min="12269" max="12269" width="16.5" style="160" customWidth="1"/>
    <col min="12270" max="12270" width="18" style="160" customWidth="1"/>
    <col min="12271" max="12271" width="23.6640625" style="160" customWidth="1"/>
    <col min="12272" max="12272" width="26" style="160" customWidth="1"/>
    <col min="12273" max="12273" width="21.5" style="160" customWidth="1"/>
    <col min="12274" max="12274" width="20.83203125" style="160" customWidth="1"/>
    <col min="12275" max="12275" width="0" style="160" hidden="1" customWidth="1"/>
    <col min="12276" max="12523" width="9.1640625" style="160"/>
    <col min="12524" max="12524" width="21.5" style="160" customWidth="1"/>
    <col min="12525" max="12525" width="16.5" style="160" customWidth="1"/>
    <col min="12526" max="12526" width="18" style="160" customWidth="1"/>
    <col min="12527" max="12527" width="23.6640625" style="160" customWidth="1"/>
    <col min="12528" max="12528" width="26" style="160" customWidth="1"/>
    <col min="12529" max="12529" width="21.5" style="160" customWidth="1"/>
    <col min="12530" max="12530" width="20.83203125" style="160" customWidth="1"/>
    <col min="12531" max="12531" width="0" style="160" hidden="1" customWidth="1"/>
    <col min="12532" max="12779" width="9.1640625" style="160"/>
    <col min="12780" max="12780" width="21.5" style="160" customWidth="1"/>
    <col min="12781" max="12781" width="16.5" style="160" customWidth="1"/>
    <col min="12782" max="12782" width="18" style="160" customWidth="1"/>
    <col min="12783" max="12783" width="23.6640625" style="160" customWidth="1"/>
    <col min="12784" max="12784" width="26" style="160" customWidth="1"/>
    <col min="12785" max="12785" width="21.5" style="160" customWidth="1"/>
    <col min="12786" max="12786" width="20.83203125" style="160" customWidth="1"/>
    <col min="12787" max="12787" width="0" style="160" hidden="1" customWidth="1"/>
    <col min="12788" max="13035" width="9.1640625" style="160"/>
    <col min="13036" max="13036" width="21.5" style="160" customWidth="1"/>
    <col min="13037" max="13037" width="16.5" style="160" customWidth="1"/>
    <col min="13038" max="13038" width="18" style="160" customWidth="1"/>
    <col min="13039" max="13039" width="23.6640625" style="160" customWidth="1"/>
    <col min="13040" max="13040" width="26" style="160" customWidth="1"/>
    <col min="13041" max="13041" width="21.5" style="160" customWidth="1"/>
    <col min="13042" max="13042" width="20.83203125" style="160" customWidth="1"/>
    <col min="13043" max="13043" width="0" style="160" hidden="1" customWidth="1"/>
    <col min="13044" max="13291" width="9.1640625" style="160"/>
    <col min="13292" max="13292" width="21.5" style="160" customWidth="1"/>
    <col min="13293" max="13293" width="16.5" style="160" customWidth="1"/>
    <col min="13294" max="13294" width="18" style="160" customWidth="1"/>
    <col min="13295" max="13295" width="23.6640625" style="160" customWidth="1"/>
    <col min="13296" max="13296" width="26" style="160" customWidth="1"/>
    <col min="13297" max="13297" width="21.5" style="160" customWidth="1"/>
    <col min="13298" max="13298" width="20.83203125" style="160" customWidth="1"/>
    <col min="13299" max="13299" width="0" style="160" hidden="1" customWidth="1"/>
    <col min="13300" max="13547" width="9.1640625" style="160"/>
    <col min="13548" max="13548" width="21.5" style="160" customWidth="1"/>
    <col min="13549" max="13549" width="16.5" style="160" customWidth="1"/>
    <col min="13550" max="13550" width="18" style="160" customWidth="1"/>
    <col min="13551" max="13551" width="23.6640625" style="160" customWidth="1"/>
    <col min="13552" max="13552" width="26" style="160" customWidth="1"/>
    <col min="13553" max="13553" width="21.5" style="160" customWidth="1"/>
    <col min="13554" max="13554" width="20.83203125" style="160" customWidth="1"/>
    <col min="13555" max="13555" width="0" style="160" hidden="1" customWidth="1"/>
    <col min="13556" max="13803" width="9.1640625" style="160"/>
    <col min="13804" max="13804" width="21.5" style="160" customWidth="1"/>
    <col min="13805" max="13805" width="16.5" style="160" customWidth="1"/>
    <col min="13806" max="13806" width="18" style="160" customWidth="1"/>
    <col min="13807" max="13807" width="23.6640625" style="160" customWidth="1"/>
    <col min="13808" max="13808" width="26" style="160" customWidth="1"/>
    <col min="13809" max="13809" width="21.5" style="160" customWidth="1"/>
    <col min="13810" max="13810" width="20.83203125" style="160" customWidth="1"/>
    <col min="13811" max="13811" width="0" style="160" hidden="1" customWidth="1"/>
    <col min="13812" max="14059" width="9.1640625" style="160"/>
    <col min="14060" max="14060" width="21.5" style="160" customWidth="1"/>
    <col min="14061" max="14061" width="16.5" style="160" customWidth="1"/>
    <col min="14062" max="14062" width="18" style="160" customWidth="1"/>
    <col min="14063" max="14063" width="23.6640625" style="160" customWidth="1"/>
    <col min="14064" max="14064" width="26" style="160" customWidth="1"/>
    <col min="14065" max="14065" width="21.5" style="160" customWidth="1"/>
    <col min="14066" max="14066" width="20.83203125" style="160" customWidth="1"/>
    <col min="14067" max="14067" width="0" style="160" hidden="1" customWidth="1"/>
    <col min="14068" max="14315" width="9.1640625" style="160"/>
    <col min="14316" max="14316" width="21.5" style="160" customWidth="1"/>
    <col min="14317" max="14317" width="16.5" style="160" customWidth="1"/>
    <col min="14318" max="14318" width="18" style="160" customWidth="1"/>
    <col min="14319" max="14319" width="23.6640625" style="160" customWidth="1"/>
    <col min="14320" max="14320" width="26" style="160" customWidth="1"/>
    <col min="14321" max="14321" width="21.5" style="160" customWidth="1"/>
    <col min="14322" max="14322" width="20.83203125" style="160" customWidth="1"/>
    <col min="14323" max="14323" width="0" style="160" hidden="1" customWidth="1"/>
    <col min="14324" max="14571" width="9.1640625" style="160"/>
    <col min="14572" max="14572" width="21.5" style="160" customWidth="1"/>
    <col min="14573" max="14573" width="16.5" style="160" customWidth="1"/>
    <col min="14574" max="14574" width="18" style="160" customWidth="1"/>
    <col min="14575" max="14575" width="23.6640625" style="160" customWidth="1"/>
    <col min="14576" max="14576" width="26" style="160" customWidth="1"/>
    <col min="14577" max="14577" width="21.5" style="160" customWidth="1"/>
    <col min="14578" max="14578" width="20.83203125" style="160" customWidth="1"/>
    <col min="14579" max="14579" width="0" style="160" hidden="1" customWidth="1"/>
    <col min="14580" max="14827" width="9.1640625" style="160"/>
    <col min="14828" max="14828" width="21.5" style="160" customWidth="1"/>
    <col min="14829" max="14829" width="16.5" style="160" customWidth="1"/>
    <col min="14830" max="14830" width="18" style="160" customWidth="1"/>
    <col min="14831" max="14831" width="23.6640625" style="160" customWidth="1"/>
    <col min="14832" max="14832" width="26" style="160" customWidth="1"/>
    <col min="14833" max="14833" width="21.5" style="160" customWidth="1"/>
    <col min="14834" max="14834" width="20.83203125" style="160" customWidth="1"/>
    <col min="14835" max="14835" width="0" style="160" hidden="1" customWidth="1"/>
    <col min="14836" max="15083" width="9.1640625" style="160"/>
    <col min="15084" max="15084" width="21.5" style="160" customWidth="1"/>
    <col min="15085" max="15085" width="16.5" style="160" customWidth="1"/>
    <col min="15086" max="15086" width="18" style="160" customWidth="1"/>
    <col min="15087" max="15087" width="23.6640625" style="160" customWidth="1"/>
    <col min="15088" max="15088" width="26" style="160" customWidth="1"/>
    <col min="15089" max="15089" width="21.5" style="160" customWidth="1"/>
    <col min="15090" max="15090" width="20.83203125" style="160" customWidth="1"/>
    <col min="15091" max="15091" width="0" style="160" hidden="1" customWidth="1"/>
    <col min="15092" max="15339" width="9.1640625" style="160"/>
    <col min="15340" max="15340" width="21.5" style="160" customWidth="1"/>
    <col min="15341" max="15341" width="16.5" style="160" customWidth="1"/>
    <col min="15342" max="15342" width="18" style="160" customWidth="1"/>
    <col min="15343" max="15343" width="23.6640625" style="160" customWidth="1"/>
    <col min="15344" max="15344" width="26" style="160" customWidth="1"/>
    <col min="15345" max="15345" width="21.5" style="160" customWidth="1"/>
    <col min="15346" max="15346" width="20.83203125" style="160" customWidth="1"/>
    <col min="15347" max="15347" width="0" style="160" hidden="1" customWidth="1"/>
    <col min="15348" max="15595" width="9.1640625" style="160"/>
    <col min="15596" max="15596" width="21.5" style="160" customWidth="1"/>
    <col min="15597" max="15597" width="16.5" style="160" customWidth="1"/>
    <col min="15598" max="15598" width="18" style="160" customWidth="1"/>
    <col min="15599" max="15599" width="23.6640625" style="160" customWidth="1"/>
    <col min="15600" max="15600" width="26" style="160" customWidth="1"/>
    <col min="15601" max="15601" width="21.5" style="160" customWidth="1"/>
    <col min="15602" max="15602" width="20.83203125" style="160" customWidth="1"/>
    <col min="15603" max="15603" width="0" style="160" hidden="1" customWidth="1"/>
    <col min="15604" max="15851" width="9.1640625" style="160"/>
    <col min="15852" max="15852" width="21.5" style="160" customWidth="1"/>
    <col min="15853" max="15853" width="16.5" style="160" customWidth="1"/>
    <col min="15854" max="15854" width="18" style="160" customWidth="1"/>
    <col min="15855" max="15855" width="23.6640625" style="160" customWidth="1"/>
    <col min="15856" max="15856" width="26" style="160" customWidth="1"/>
    <col min="15857" max="15857" width="21.5" style="160" customWidth="1"/>
    <col min="15858" max="15858" width="20.83203125" style="160" customWidth="1"/>
    <col min="15859" max="15859" width="0" style="160" hidden="1" customWidth="1"/>
    <col min="15860" max="16107" width="9.1640625" style="160"/>
    <col min="16108" max="16108" width="21.5" style="160" customWidth="1"/>
    <col min="16109" max="16109" width="16.5" style="160" customWidth="1"/>
    <col min="16110" max="16110" width="18" style="160" customWidth="1"/>
    <col min="16111" max="16111" width="23.6640625" style="160" customWidth="1"/>
    <col min="16112" max="16112" width="26" style="160" customWidth="1"/>
    <col min="16113" max="16113" width="21.5" style="160" customWidth="1"/>
    <col min="16114" max="16114" width="20.83203125" style="160" customWidth="1"/>
    <col min="16115" max="16115" width="0" style="160" hidden="1" customWidth="1"/>
    <col min="16116" max="16384" width="9.1640625" style="160"/>
  </cols>
  <sheetData>
    <row r="1" spans="2:19" ht="9" customHeight="1" thickBot="1"/>
    <row r="2" spans="2:19" s="162" customFormat="1" ht="30" customHeight="1" thickBot="1">
      <c r="B2" s="184" t="s">
        <v>53</v>
      </c>
      <c r="C2" s="185"/>
      <c r="D2" s="185"/>
      <c r="E2" s="185"/>
      <c r="F2" s="185"/>
      <c r="G2" s="186"/>
      <c r="H2" s="185"/>
      <c r="I2" s="185"/>
      <c r="J2" s="185"/>
      <c r="K2" s="185"/>
      <c r="L2" s="185"/>
      <c r="M2" s="187"/>
      <c r="N2" s="186"/>
      <c r="O2" s="186"/>
      <c r="P2" s="188"/>
    </row>
    <row r="3" spans="2:19">
      <c r="G3" s="189"/>
      <c r="M3" s="190"/>
      <c r="N3" s="191"/>
      <c r="O3" s="191"/>
      <c r="P3" s="191"/>
      <c r="R3" s="810" t="s">
        <v>263</v>
      </c>
      <c r="S3" s="811"/>
    </row>
    <row r="4" spans="2:19" ht="45" customHeight="1">
      <c r="B4" s="163" t="s">
        <v>224</v>
      </c>
      <c r="C4" s="164" t="s">
        <v>223</v>
      </c>
      <c r="D4" s="164" t="s">
        <v>54</v>
      </c>
      <c r="E4" s="164" t="s">
        <v>11</v>
      </c>
      <c r="F4" s="164" t="s">
        <v>58</v>
      </c>
      <c r="G4" s="164" t="s">
        <v>159</v>
      </c>
      <c r="H4" s="164" t="s">
        <v>261</v>
      </c>
      <c r="I4" s="164" t="s">
        <v>349</v>
      </c>
      <c r="J4" s="164" t="s">
        <v>350</v>
      </c>
      <c r="K4" s="164" t="s">
        <v>351</v>
      </c>
      <c r="L4" s="164" t="s">
        <v>352</v>
      </c>
      <c r="M4" s="164" t="s">
        <v>158</v>
      </c>
      <c r="N4" s="164" t="s">
        <v>56</v>
      </c>
      <c r="O4" s="164" t="s">
        <v>57</v>
      </c>
      <c r="P4" s="165" t="s">
        <v>58</v>
      </c>
      <c r="R4" s="806" t="s">
        <v>353</v>
      </c>
      <c r="S4" s="808" t="s">
        <v>262</v>
      </c>
    </row>
    <row r="5" spans="2:19" ht="15.75" customHeight="1">
      <c r="B5" s="166" t="s">
        <v>55</v>
      </c>
      <c r="C5" s="167" t="s">
        <v>52</v>
      </c>
      <c r="D5" s="167" t="s">
        <v>0</v>
      </c>
      <c r="E5" s="167" t="s">
        <v>0</v>
      </c>
      <c r="F5" s="167" t="s">
        <v>0</v>
      </c>
      <c r="G5" s="168" t="s">
        <v>0</v>
      </c>
      <c r="H5" s="168" t="s">
        <v>0</v>
      </c>
      <c r="I5" s="168" t="s">
        <v>0</v>
      </c>
      <c r="J5" s="168" t="s">
        <v>0</v>
      </c>
      <c r="K5" s="167" t="s">
        <v>0</v>
      </c>
      <c r="L5" s="167" t="s">
        <v>0</v>
      </c>
      <c r="M5" s="168" t="s">
        <v>0</v>
      </c>
      <c r="N5" s="168" t="s">
        <v>0</v>
      </c>
      <c r="O5" s="167" t="s">
        <v>1</v>
      </c>
      <c r="P5" s="169" t="s">
        <v>59</v>
      </c>
      <c r="R5" s="807"/>
      <c r="S5" s="809"/>
    </row>
    <row r="6" spans="2:19" ht="15.75" customHeight="1">
      <c r="B6" s="170">
        <v>0</v>
      </c>
      <c r="C6" s="171"/>
      <c r="D6" s="172"/>
      <c r="E6" s="172"/>
      <c r="F6" s="172"/>
      <c r="G6" s="173"/>
      <c r="H6" s="172"/>
      <c r="I6" s="172"/>
      <c r="J6" s="172"/>
      <c r="K6" s="172"/>
      <c r="L6" s="223"/>
      <c r="M6" s="173">
        <f>'Cash Flow'!F79</f>
        <v>-1687499.9999999998</v>
      </c>
      <c r="N6" s="173">
        <f>M6</f>
        <v>-1687499.9999999998</v>
      </c>
      <c r="O6" s="192"/>
      <c r="P6" s="193"/>
      <c r="R6" s="390"/>
      <c r="S6" s="391"/>
    </row>
    <row r="7" spans="2:19" s="180" customFormat="1" ht="15">
      <c r="B7" s="175">
        <v>1</v>
      </c>
      <c r="C7" s="176">
        <f>IF($B7&gt;Inputs!$G$18,"",IF($B7&lt;=Inputs!$Q$22,LOOKUP($B7,'Cash Flow'!$F$2:$AJ$2,'Cash Flow'!$F$17:$AJ$17),LOOKUP($B7,'Cash Flow'!$F$2:$AJ$2,'Cash Flow'!$F$19:$AJ$19)))</f>
        <v>11.349999999999998</v>
      </c>
      <c r="D7" s="173">
        <f>IF($B7&gt;Inputs!$G$18,"",LOOKUP($B7,'Cash Flow'!$F$2:$AJ$2,'Cash Flow'!$F$29:$AJ$29))</f>
        <v>771071.20986735867</v>
      </c>
      <c r="E7" s="173">
        <f>IF($B7&gt;Inputs!$G$18,"",LOOKUP($B7,'Cash Flow'!$F$2:$AJ$2,'Cash Flow'!$F$47:$AJ$47))</f>
        <v>-350888</v>
      </c>
      <c r="F7" s="173">
        <f>IF($B7&gt;Inputs!$G$18,"",LOOKUP($B7,'Cash Flow'!$F$2:$AJ$2,'Cash Flow'!$F$97:$AJ$97))</f>
        <v>-246779.87428103067</v>
      </c>
      <c r="G7" s="173">
        <f>IF($B7&gt;Inputs!$G$18,"",LOOKUP($B7,'Cash Flow'!$F$2:$AJ$2,'Cash Flow'!$F$59:$AJ$59)+LOOKUP($B7,'Cash Flow'!$F$2:$AJ$2,'Cash Flow'!$F$60:$AJ$60))</f>
        <v>0</v>
      </c>
      <c r="H7" s="173">
        <f>IF($B7&gt;Inputs!$G$18,"",SUM(D7:G7))</f>
        <v>173403.335586328</v>
      </c>
      <c r="I7" s="173">
        <f>IF($B7&gt;Inputs!$G$18,"",LOOKUP($B7,'Cash Flow'!$F$2:$AJ$2,'Cash Flow'!$F$72:$AJ$72))</f>
        <v>-434348.04013264133</v>
      </c>
      <c r="J7" s="173">
        <f>IF($B7&gt;Inputs!$G$18,"",LOOKUP($B7,'Cash Flow'!$F$2:$AJ$2,'Cash Flow'!$F$73:$AJ$73))</f>
        <v>-434348.04013264133</v>
      </c>
      <c r="K7" s="173">
        <f>IF($B7&gt;Inputs!$G$18,"",LOOKUP($B7,'Cash Flow'!$F$2:$AJ$2,'Cash Flow'!$F$75:$AJ$75)+LOOKUP($B7,'Cash Flow'!$F$2:$AJ$2,'Cash Flow'!$F$77:$AJ$77))</f>
        <v>179187.93175247841</v>
      </c>
      <c r="L7" s="173">
        <f>IF($B7&gt;Inputs!$G$18,"",LOOKUP($B7,'Cash Flow'!$F$2:$AJ$2,'Cash Flow'!$F$76:$AJ$76)+LOOKUP($B7,'Cash Flow'!$F$2:$AJ$2,'Cash Flow'!$F$78:$AJ$78))</f>
        <v>41543.549411274515</v>
      </c>
      <c r="M7" s="173">
        <f>IF($B7&gt;Inputs!$G$18,"",H7+K7+L7)</f>
        <v>394134.81675008091</v>
      </c>
      <c r="N7" s="173">
        <f>IF($B7&gt;Inputs!$G$18,N6,N6+M7)</f>
        <v>-1293365.1832499187</v>
      </c>
      <c r="O7" s="177">
        <f>IF($B7&gt;Inputs!$G$18,"",LOOKUP($B7,'Cash Flow'!$F$2:$AJ$2,'Cash Flow'!$F$80:$AJ$80))</f>
        <v>-0.76643862711106303</v>
      </c>
      <c r="P7" s="178">
        <f>IF($B7&gt;Inputs!$G$18,"",LOOKUP($B7,'Cash Flow'!$F$2:$AJ$2,'Cash Flow'!$F$53:$AJ$53))</f>
        <v>1.702664008122712</v>
      </c>
      <c r="R7" s="392">
        <f>IF($B7&gt;Inputs!$G$18,"",D7+K7+L7)</f>
        <v>991802.69103111164</v>
      </c>
      <c r="S7" s="393">
        <f>IF($B7&gt;Inputs!$G$18,"",-(E7+F7+G7))</f>
        <v>597667.87428103061</v>
      </c>
    </row>
    <row r="8" spans="2:19" s="180" customFormat="1" ht="15.75" customHeight="1">
      <c r="B8" s="181">
        <v>2</v>
      </c>
      <c r="C8" s="176">
        <f>IF($B8&gt;Inputs!$G$18,"",IF($B8&lt;=Inputs!$Q$22,LOOKUP($B8,'Cash Flow'!$F$2:$AJ$2,'Cash Flow'!$F$17:$AJ$17),LOOKUP($B8,'Cash Flow'!$F$2:$AJ$2,'Cash Flow'!$F$19:$AJ$19)))</f>
        <v>11.349999999999998</v>
      </c>
      <c r="D8" s="173">
        <f>IF($B8&gt;Inputs!$G$18,"",LOOKUP($B8,'Cash Flow'!$F$2:$AJ$2,'Cash Flow'!$F$29:$AJ$29))</f>
        <v>772159.20186735864</v>
      </c>
      <c r="E8" s="173">
        <f>IF($B8&gt;Inputs!$G$18,"",LOOKUP($B8,'Cash Flow'!$F$2:$AJ$2,'Cash Flow'!$F$47:$AJ$47))</f>
        <v>-357905.76</v>
      </c>
      <c r="F8" s="173">
        <f>IF($B8&gt;Inputs!$G$18,"",LOOKUP($B8,'Cash Flow'!$F$2:$AJ$2,'Cash Flow'!$F$97:$AJ$97))</f>
        <v>-246779.87428103067</v>
      </c>
      <c r="G8" s="173">
        <f>IF($B8&gt;Inputs!$G$18,"",LOOKUP($B8,'Cash Flow'!$F$2:$AJ$2,'Cash Flow'!$F$59:$AJ$59)+LOOKUP($B8,'Cash Flow'!$F$2:$AJ$2,'Cash Flow'!$F$60:$AJ$60))</f>
        <v>0</v>
      </c>
      <c r="H8" s="173">
        <f>IF($B8&gt;Inputs!$G$18,"",SUM(D8:G8))</f>
        <v>167473.56758632796</v>
      </c>
      <c r="I8" s="173">
        <f>IF($B8&gt;Inputs!$G$18,"",LOOKUP($B8,'Cash Flow'!$F$2:$AJ$2,'Cash Flow'!$F$72:$AJ$72))</f>
        <v>-860879.09193296928</v>
      </c>
      <c r="J8" s="173">
        <f>IF($B8&gt;Inputs!$G$18,"",LOOKUP($B8,'Cash Flow'!$F$2:$AJ$2,'Cash Flow'!$F$73:$AJ$73))</f>
        <v>-860879.09193296928</v>
      </c>
      <c r="K8" s="173">
        <f>IF($B8&gt;Inputs!$G$18,"",LOOKUP($B8,'Cash Flow'!$F$2:$AJ$2,'Cash Flow'!$F$75:$AJ$75)+LOOKUP($B8,'Cash Flow'!$F$2:$AJ$2,'Cash Flow'!$F$77:$AJ$77))</f>
        <v>316586.26052953338</v>
      </c>
      <c r="L8" s="173">
        <f>IF($B8&gt;Inputs!$G$18,"",LOOKUP($B8,'Cash Flow'!$F$2:$AJ$2,'Cash Flow'!$F$76:$AJ$76)+LOOKUP($B8,'Cash Flow'!$F$2:$AJ$2,'Cash Flow'!$F$78:$AJ$78))</f>
        <v>77891.168134302396</v>
      </c>
      <c r="M8" s="173">
        <f>IF($B8&gt;Inputs!$G$18,"",H8+K8+L8)</f>
        <v>561950.99625016376</v>
      </c>
      <c r="N8" s="173">
        <f>IF($B8&gt;Inputs!$G$18,N7,N7+M8)</f>
        <v>-731414.18699975498</v>
      </c>
      <c r="O8" s="177">
        <f>IF($B8&gt;Inputs!$G$18,"",LOOKUP($B8,'Cash Flow'!$F$2:$AJ$2,'Cash Flow'!$F$80:$AJ$80))</f>
        <v>-0.2944530386175761</v>
      </c>
      <c r="P8" s="178">
        <f>IF($B8&gt;Inputs!$G$18,"",LOOKUP($B8,'Cash Flow'!$F$2:$AJ$2,'Cash Flow'!$F$53:$AJ$53))</f>
        <v>1.6786354360307785</v>
      </c>
      <c r="R8" s="392">
        <f>IF($B8&gt;Inputs!$G$18,"",D8+K8+L8)</f>
        <v>1166636.6305311944</v>
      </c>
      <c r="S8" s="393">
        <f>IF($B8&gt;Inputs!$G$18,"",-(E8+F8+G8))</f>
        <v>604685.63428103062</v>
      </c>
    </row>
    <row r="9" spans="2:19">
      <c r="B9" s="175">
        <v>3</v>
      </c>
      <c r="C9" s="176">
        <f>IF($B9&gt;Inputs!$G$18,"",IF($B9&lt;=Inputs!$Q$22,LOOKUP($B9,'Cash Flow'!$F$2:$AJ$2,'Cash Flow'!$F$17:$AJ$17),LOOKUP($B9,'Cash Flow'!$F$2:$AJ$2,'Cash Flow'!$F$19:$AJ$19)))</f>
        <v>11.349999999999998</v>
      </c>
      <c r="D9" s="173">
        <f>IF($B9&gt;Inputs!$G$18,"",LOOKUP($B9,'Cash Flow'!$F$2:$AJ$2,'Cash Flow'!$F$29:$AJ$29))</f>
        <v>773268.95370735857</v>
      </c>
      <c r="E9" s="173">
        <f>IF($B9&gt;Inputs!$G$18,"",LOOKUP($B9,'Cash Flow'!$F$2:$AJ$2,'Cash Flow'!$F$47:$AJ$47))</f>
        <v>-365063.87520000001</v>
      </c>
      <c r="F9" s="173">
        <f>IF($B9&gt;Inputs!$G$18,"",LOOKUP($B9,'Cash Flow'!$F$2:$AJ$2,'Cash Flow'!$F$97:$AJ$97))</f>
        <v>-246779.87428103067</v>
      </c>
      <c r="G9" s="173">
        <f>IF($B9&gt;Inputs!$G$18,"",LOOKUP($B9,'Cash Flow'!$F$2:$AJ$2,'Cash Flow'!$F$59:$AJ$59)+LOOKUP($B9,'Cash Flow'!$F$2:$AJ$2,'Cash Flow'!$F$60:$AJ$60))</f>
        <v>0</v>
      </c>
      <c r="H9" s="173">
        <f>IF($B9&gt;Inputs!$G$18,"",SUM(D9:G9))</f>
        <v>161425.20422632789</v>
      </c>
      <c r="I9" s="173">
        <f>IF($B9&gt;Inputs!$G$18,"",LOOKUP($B9,'Cash Flow'!$F$2:$AJ$2,'Cash Flow'!$F$72:$AJ$72))</f>
        <v>-407319.70520932012</v>
      </c>
      <c r="J9" s="173">
        <f>IF($B9&gt;Inputs!$G$18,"",LOOKUP($B9,'Cash Flow'!$F$2:$AJ$2,'Cash Flow'!$F$73:$AJ$73))</f>
        <v>-407319.70520932012</v>
      </c>
      <c r="K9" s="173">
        <f>IF($B9&gt;Inputs!$G$18,"",LOOKUP($B9,'Cash Flow'!$F$2:$AJ$2,'Cash Flow'!$F$75:$AJ$75)+LOOKUP($B9,'Cash Flow'!$F$2:$AJ$2,'Cash Flow'!$F$77:$AJ$77))</f>
        <v>172151.66155804475</v>
      </c>
      <c r="L9" s="173">
        <f>IF($B9&gt;Inputs!$G$18,"",LOOKUP($B9,'Cash Flow'!$F$2:$AJ$2,'Cash Flow'!$F$76:$AJ$76)+LOOKUP($B9,'Cash Flow'!$F$2:$AJ$2,'Cash Flow'!$F$78:$AJ$78))</f>
        <v>39432.949169192209</v>
      </c>
      <c r="M9" s="173">
        <f>IF($B9&gt;Inputs!$G$18,"",H9+K9+L9)</f>
        <v>373009.8149535649</v>
      </c>
      <c r="N9" s="173">
        <f>IF($B9&gt;Inputs!$G$18,N8,N8+M9)</f>
        <v>-358404.37204619008</v>
      </c>
      <c r="O9" s="177">
        <f>IF($B9&gt;Inputs!$G$18,"",LOOKUP($B9,'Cash Flow'!$F$2:$AJ$2,'Cash Flow'!$F$80:$AJ$80))</f>
        <v>-0.11156741288034933</v>
      </c>
      <c r="P9" s="178">
        <f>IF($B9&gt;Inputs!$G$18,"",LOOKUP($B9,'Cash Flow'!$F$2:$AJ$2,'Cash Flow'!$F$53:$AJ$53))</f>
        <v>1.6541262924970062</v>
      </c>
      <c r="R9" s="392">
        <f>IF($B9&gt;Inputs!$G$18,"",D9+K9+L9)</f>
        <v>984853.56443459552</v>
      </c>
      <c r="S9" s="393">
        <f>IF($B9&gt;Inputs!$G$18,"",-(E9+F9+G9))</f>
        <v>611843.74948103074</v>
      </c>
    </row>
    <row r="10" spans="2:19">
      <c r="B10" s="175">
        <v>4</v>
      </c>
      <c r="C10" s="176">
        <f>IF($B10&gt;Inputs!$G$18,"",IF($B10&lt;=Inputs!$Q$22,LOOKUP($B10,'Cash Flow'!$F$2:$AJ$2,'Cash Flow'!$F$17:$AJ$17),LOOKUP($B10,'Cash Flow'!$F$2:$AJ$2,'Cash Flow'!$F$19:$AJ$19)))</f>
        <v>11.349999999999998</v>
      </c>
      <c r="D10" s="173">
        <f>IF($B10&gt;Inputs!$G$18,"",LOOKUP($B10,'Cash Flow'!$F$2:$AJ$2,'Cash Flow'!$F$29:$AJ$29))</f>
        <v>774400.90058415872</v>
      </c>
      <c r="E10" s="173">
        <f>IF($B10&gt;Inputs!$G$18,"",LOOKUP($B10,'Cash Flow'!$F$2:$AJ$2,'Cash Flow'!$F$47:$AJ$47))</f>
        <v>-372365.15270400001</v>
      </c>
      <c r="F10" s="173">
        <f>IF($B10&gt;Inputs!$G$18,"",LOOKUP($B10,'Cash Flow'!$F$2:$AJ$2,'Cash Flow'!$F$97:$AJ$97))</f>
        <v>-246779.87428103067</v>
      </c>
      <c r="G10" s="173">
        <f>IF($B10&gt;Inputs!$G$18,"",LOOKUP($B10,'Cash Flow'!$F$2:$AJ$2,'Cash Flow'!$F$59:$AJ$59)+LOOKUP($B10,'Cash Flow'!$F$2:$AJ$2,'Cash Flow'!$F$60:$AJ$60))</f>
        <v>0</v>
      </c>
      <c r="H10" s="173">
        <f>IF($B10&gt;Inputs!$G$18,"",SUM(D10:G10))</f>
        <v>155255.87359912804</v>
      </c>
      <c r="I10" s="173">
        <f>IF($B10&gt;Inputs!$G$18,"",LOOKUP($B10,'Cash Flow'!$F$2:$AJ$2,'Cash Flow'!$F$72:$AJ$72))</f>
        <v>-133896.37699701538</v>
      </c>
      <c r="J10" s="173">
        <f>IF($B10&gt;Inputs!$G$18,"",LOOKUP($B10,'Cash Flow'!$F$2:$AJ$2,'Cash Flow'!$F$73:$AJ$73))</f>
        <v>-133896.37699701538</v>
      </c>
      <c r="K10" s="173">
        <f>IF($B10&gt;Inputs!$G$18,"",LOOKUP($B10,'Cash Flow'!$F$2:$AJ$2,'Cash Flow'!$F$75:$AJ$75)+LOOKUP($B10,'Cash Flow'!$F$2:$AJ$2,'Cash Flow'!$F$77:$AJ$77))</f>
        <v>85421.991217349365</v>
      </c>
      <c r="L10" s="173">
        <f>IF($B10&gt;Inputs!$G$18,"",LOOKUP($B10,'Cash Flow'!$F$2:$AJ$2,'Cash Flow'!$F$76:$AJ$76)+LOOKUP($B10,'Cash Flow'!$F$2:$AJ$2,'Cash Flow'!$F$78:$AJ$78))</f>
        <v>16288.181755674308</v>
      </c>
      <c r="M10" s="173">
        <f>IF($B10&gt;Inputs!$G$18,"",H10+K10+L10)</f>
        <v>256966.04657215171</v>
      </c>
      <c r="N10" s="173">
        <f>IF($B10&gt;Inputs!$G$18,N9,N9+M10)</f>
        <v>-101438.32547403837</v>
      </c>
      <c r="O10" s="177">
        <f>IF($B10&gt;Inputs!$G$18,"",LOOKUP($B10,'Cash Flow'!$F$2:$AJ$2,'Cash Flow'!$F$80:$AJ$80))</f>
        <v>-2.6316837635725565E-2</v>
      </c>
      <c r="P10" s="178">
        <f>IF($B10&gt;Inputs!$G$18,"",LOOKUP($B10,'Cash Flow'!$F$2:$AJ$2,'Cash Flow'!$F$53:$AJ$53))</f>
        <v>1.6291269660925594</v>
      </c>
      <c r="R10" s="392">
        <f>IF($B10&gt;Inputs!$G$18,"",D10+K10+L10)</f>
        <v>876111.07355718245</v>
      </c>
      <c r="S10" s="393">
        <f>IF($B10&gt;Inputs!$G$18,"",-(E10+F10+G10))</f>
        <v>619145.02698503062</v>
      </c>
    </row>
    <row r="11" spans="2:19">
      <c r="B11" s="181">
        <v>5</v>
      </c>
      <c r="C11" s="176">
        <f>IF($B11&gt;Inputs!$G$18,"",IF($B11&lt;=Inputs!$Q$22,LOOKUP($B11,'Cash Flow'!$F$2:$AJ$2,'Cash Flow'!$F$17:$AJ$17),LOOKUP($B11,'Cash Flow'!$F$2:$AJ$2,'Cash Flow'!$F$19:$AJ$19)))</f>
        <v>11.349999999999998</v>
      </c>
      <c r="D11" s="173">
        <f>IF($B11&gt;Inputs!$G$18,"",LOOKUP($B11,'Cash Flow'!$F$2:$AJ$2,'Cash Flow'!$F$29:$AJ$29))</f>
        <v>775555.48639849457</v>
      </c>
      <c r="E11" s="173">
        <f>IF($B11&gt;Inputs!$G$18,"",LOOKUP($B11,'Cash Flow'!$F$2:$AJ$2,'Cash Flow'!$F$47:$AJ$47))</f>
        <v>-379812.45575808</v>
      </c>
      <c r="F11" s="173">
        <f>IF($B11&gt;Inputs!$G$18,"",LOOKUP($B11,'Cash Flow'!$F$2:$AJ$2,'Cash Flow'!$F$97:$AJ$97))</f>
        <v>-246779.87428103067</v>
      </c>
      <c r="G11" s="173">
        <f>IF($B11&gt;Inputs!$G$18,"",LOOKUP($B11,'Cash Flow'!$F$2:$AJ$2,'Cash Flow'!$F$59:$AJ$59)+LOOKUP($B11,'Cash Flow'!$F$2:$AJ$2,'Cash Flow'!$F$60:$AJ$60))</f>
        <v>0</v>
      </c>
      <c r="H11" s="173">
        <f>IF($B11&gt;Inputs!$G$18,"",SUM(D11:G11))</f>
        <v>148963.15635938389</v>
      </c>
      <c r="I11" s="173">
        <f>IF($B11&gt;Inputs!$G$18,"",LOOKUP($B11,'Cash Flow'!$F$2:$AJ$2,'Cash Flow'!$F$72:$AJ$72))</f>
        <v>-130800.44302848954</v>
      </c>
      <c r="J11" s="173">
        <f>IF($B11&gt;Inputs!$G$18,"",LOOKUP($B11,'Cash Flow'!$F$2:$AJ$2,'Cash Flow'!$F$73:$AJ$73))</f>
        <v>-130800.44302848954</v>
      </c>
      <c r="K11" s="173">
        <f>IF($B11&gt;Inputs!$G$18,"",LOOKUP($B11,'Cash Flow'!$F$2:$AJ$2,'Cash Flow'!$F$75:$AJ$75)+LOOKUP($B11,'Cash Flow'!$F$2:$AJ$2,'Cash Flow'!$F$77:$AJ$77))</f>
        <v>85281.351893610074</v>
      </c>
      <c r="L11" s="173">
        <f>IF($B11&gt;Inputs!$G$18,"",LOOKUP($B11,'Cash Flow'!$F$2:$AJ$2,'Cash Flow'!$F$76:$AJ$76)+LOOKUP($B11,'Cash Flow'!$F$2:$AJ$2,'Cash Flow'!$F$78:$AJ$78))</f>
        <v>16123.16716256817</v>
      </c>
      <c r="M11" s="173">
        <f>IF($B11&gt;Inputs!$G$18,"",H11+K11+L11)</f>
        <v>250367.67541556215</v>
      </c>
      <c r="N11" s="173">
        <f>IF($B11&gt;Inputs!$G$18,N10,N10+M11)</f>
        <v>148929.34994152377</v>
      </c>
      <c r="O11" s="177">
        <f>IF($B11&gt;Inputs!$G$18,"",LOOKUP($B11,'Cash Flow'!$F$2:$AJ$2,'Cash Flow'!$F$80:$AJ$80))</f>
        <v>3.2434124637782391E-2</v>
      </c>
      <c r="P11" s="178">
        <f>IF($B11&gt;Inputs!$G$18,"",LOOKUP($B11,'Cash Flow'!$F$2:$AJ$2,'Cash Flow'!$F$53:$AJ$53))</f>
        <v>1.6036276531600224</v>
      </c>
      <c r="R11" s="392">
        <f>IF($B11&gt;Inputs!$G$18,"",D11+K11+L11)</f>
        <v>876960.00545467285</v>
      </c>
      <c r="S11" s="393">
        <f>IF($B11&gt;Inputs!$G$18,"",-(E11+F11+G11))</f>
        <v>626592.33003911073</v>
      </c>
    </row>
    <row r="12" spans="2:19">
      <c r="B12" s="175">
        <v>6</v>
      </c>
      <c r="C12" s="176">
        <f>IF($B12&gt;Inputs!$G$18,"",IF($B12&lt;=Inputs!$Q$22,LOOKUP($B12,'Cash Flow'!$F$2:$AJ$2,'Cash Flow'!$F$17:$AJ$17),LOOKUP($B12,'Cash Flow'!$F$2:$AJ$2,'Cash Flow'!$F$19:$AJ$19)))</f>
        <v>11.349999999999998</v>
      </c>
      <c r="D12" s="173">
        <f>IF($B12&gt;Inputs!$G$18,"",LOOKUP($B12,'Cash Flow'!$F$2:$AJ$2,'Cash Flow'!$F$29:$AJ$29))</f>
        <v>776733.16392911738</v>
      </c>
      <c r="E12" s="173">
        <f>IF($B12&gt;Inputs!$G$18,"",LOOKUP($B12,'Cash Flow'!$F$2:$AJ$2,'Cash Flow'!$F$47:$AJ$47))</f>
        <v>-387408.70487324154</v>
      </c>
      <c r="F12" s="173">
        <f>IF($B12&gt;Inputs!$G$18,"",LOOKUP($B12,'Cash Flow'!$F$2:$AJ$2,'Cash Flow'!$F$97:$AJ$97))</f>
        <v>-246779.8742810307</v>
      </c>
      <c r="G12" s="173">
        <f>IF($B12&gt;Inputs!$G$18,"",LOOKUP($B12,'Cash Flow'!$F$2:$AJ$2,'Cash Flow'!$F$59:$AJ$59)+LOOKUP($B12,'Cash Flow'!$F$2:$AJ$2,'Cash Flow'!$F$60:$AJ$60))</f>
        <v>0</v>
      </c>
      <c r="H12" s="173">
        <f>IF($B12&gt;Inputs!$G$18,"",SUM(D12:G12))</f>
        <v>142544.58477484513</v>
      </c>
      <c r="I12" s="173">
        <f>IF($B12&gt;Inputs!$G$18,"",LOOKUP($B12,'Cash Flow'!$F$2:$AJ$2,'Cash Flow'!$F$72:$AJ$72))</f>
        <v>75771.468429820612</v>
      </c>
      <c r="J12" s="173">
        <f>IF($B12&gt;Inputs!$G$18,"",LOOKUP($B12,'Cash Flow'!$F$2:$AJ$2,'Cash Flow'!$F$73:$AJ$73))</f>
        <v>75771.468429820612</v>
      </c>
      <c r="K12" s="173">
        <f>IF($B12&gt;Inputs!$G$18,"",LOOKUP($B12,'Cash Flow'!$F$2:$AJ$2,'Cash Flow'!$F$75:$AJ$75)+LOOKUP($B12,'Cash Flow'!$F$2:$AJ$2,'Cash Flow'!$F$77:$AJ$77))</f>
        <v>19994.547449360984</v>
      </c>
      <c r="L12" s="173">
        <f>IF($B12&gt;Inputs!$G$18,"",LOOKUP($B12,'Cash Flow'!$F$2:$AJ$2,'Cash Flow'!$F$76:$AJ$76)+LOOKUP($B12,'Cash Flow'!$F$2:$AJ$2,'Cash Flow'!$F$78:$AJ$78))</f>
        <v>-1335.3427212852605</v>
      </c>
      <c r="M12" s="173">
        <f>IF($B12&gt;Inputs!$G$18,"",H12+K12+L12)</f>
        <v>161203.78950292084</v>
      </c>
      <c r="N12" s="173">
        <f>IF($B12&gt;Inputs!$G$18,N11,N11+M12)</f>
        <v>310133.13944444462</v>
      </c>
      <c r="O12" s="177">
        <f>IF($B12&gt;Inputs!$G$18,"",LOOKUP($B12,'Cash Flow'!$F$2:$AJ$2,'Cash Flow'!$F$80:$AJ$80))</f>
        <v>6.0429195766765087E-2</v>
      </c>
      <c r="P12" s="178">
        <f>IF($B12&gt;Inputs!$G$18,"",LOOKUP($B12,'Cash Flow'!$F$2:$AJ$2,'Cash Flow'!$F$53:$AJ$53))</f>
        <v>1.5776183539688355</v>
      </c>
      <c r="R12" s="392">
        <f>IF($B12&gt;Inputs!$G$18,"",D12+K12+L12)</f>
        <v>795392.36865719303</v>
      </c>
      <c r="S12" s="393">
        <f>IF($B12&gt;Inputs!$G$18,"",-(E12+F12+G12))</f>
        <v>634188.57915427221</v>
      </c>
    </row>
    <row r="13" spans="2:19">
      <c r="B13" s="175">
        <v>7</v>
      </c>
      <c r="C13" s="176">
        <f>IF($B13&gt;Inputs!$G$18,"",IF($B13&lt;=Inputs!$Q$22,LOOKUP($B13,'Cash Flow'!$F$2:$AJ$2,'Cash Flow'!$F$17:$AJ$17),LOOKUP($B13,'Cash Flow'!$F$2:$AJ$2,'Cash Flow'!$F$19:$AJ$19)))</f>
        <v>11.349999999999998</v>
      </c>
      <c r="D13" s="173">
        <f>IF($B13&gt;Inputs!$G$18,"",LOOKUP($B13,'Cash Flow'!$F$2:$AJ$2,'Cash Flow'!$F$29:$AJ$29))</f>
        <v>777934.3950103526</v>
      </c>
      <c r="E13" s="173">
        <f>IF($B13&gt;Inputs!$G$18,"",LOOKUP($B13,'Cash Flow'!$F$2:$AJ$2,'Cash Flow'!$F$47:$AJ$47))</f>
        <v>-395156.87897070643</v>
      </c>
      <c r="F13" s="173">
        <f>IF($B13&gt;Inputs!$G$18,"",LOOKUP($B13,'Cash Flow'!$F$2:$AJ$2,'Cash Flow'!$F$97:$AJ$97))</f>
        <v>-246779.87428103067</v>
      </c>
      <c r="G13" s="173">
        <f>IF($B13&gt;Inputs!$G$18,"",LOOKUP($B13,'Cash Flow'!$F$2:$AJ$2,'Cash Flow'!$F$59:$AJ$59)+LOOKUP($B13,'Cash Flow'!$F$2:$AJ$2,'Cash Flow'!$F$60:$AJ$60))</f>
        <v>0</v>
      </c>
      <c r="H13" s="173">
        <f>IF($B13&gt;Inputs!$G$18,"",SUM(D13:G13))</f>
        <v>135997.6417586155</v>
      </c>
      <c r="I13" s="173">
        <f>IF($B13&gt;Inputs!$G$18,"",LOOKUP($B13,'Cash Flow'!$F$2:$AJ$2,'Cash Flow'!$F$72:$AJ$72))</f>
        <v>282652.99476943922</v>
      </c>
      <c r="J13" s="173">
        <f>IF($B13&gt;Inputs!$G$18,"",LOOKUP($B13,'Cash Flow'!$F$2:$AJ$2,'Cash Flow'!$F$73:$AJ$73))</f>
        <v>282652.99476943922</v>
      </c>
      <c r="K13" s="173">
        <f>IF($B13&gt;Inputs!$G$18,"",LOOKUP($B13,'Cash Flow'!$F$2:$AJ$2,'Cash Flow'!$F$75:$AJ$75)+LOOKUP($B13,'Cash Flow'!$F$2:$AJ$2,'Cash Flow'!$F$77:$AJ$77))</f>
        <v>-45374.054156621656</v>
      </c>
      <c r="L13" s="173">
        <f>IF($B13&gt;Inputs!$G$18,"",LOOKUP($B13,'Cash Flow'!$F$2:$AJ$2,'Cash Flow'!$F$76:$AJ$76)+LOOKUP($B13,'Cash Flow'!$F$2:$AJ$2,'Cash Flow'!$F$78:$AJ$78))</f>
        <v>-18818.167818247854</v>
      </c>
      <c r="M13" s="173">
        <f>IF($B13&gt;Inputs!$G$18,"",H13+K13+L13)</f>
        <v>71805.419783745994</v>
      </c>
      <c r="N13" s="173">
        <f>IF($B13&gt;Inputs!$G$18,N12,N12+M13)</f>
        <v>381938.55922819063</v>
      </c>
      <c r="O13" s="177">
        <f>IF($B13&gt;Inputs!$G$18,"",LOOKUP($B13,'Cash Flow'!$F$2:$AJ$2,'Cash Flow'!$F$80:$AJ$80))</f>
        <v>7.0623020396582525E-2</v>
      </c>
      <c r="P13" s="178">
        <f>IF($B13&gt;Inputs!$G$18,"",LOOKUP($B13,'Cash Flow'!$F$2:$AJ$2,'Cash Flow'!$F$53:$AJ$53))</f>
        <v>1.5510888687938249</v>
      </c>
      <c r="R13" s="392">
        <f>IF($B13&gt;Inputs!$G$18,"",D13+K13+L13)</f>
        <v>713742.17303548311</v>
      </c>
      <c r="S13" s="393">
        <f>IF($B13&gt;Inputs!$G$18,"",-(E13+F13+G13))</f>
        <v>641936.7532517371</v>
      </c>
    </row>
    <row r="14" spans="2:19">
      <c r="B14" s="181">
        <v>8</v>
      </c>
      <c r="C14" s="176">
        <f>IF($B14&gt;Inputs!$G$18,"",IF($B14&lt;=Inputs!$Q$22,LOOKUP($B14,'Cash Flow'!$F$2:$AJ$2,'Cash Flow'!$F$17:$AJ$17),LOOKUP($B14,'Cash Flow'!$F$2:$AJ$2,'Cash Flow'!$F$19:$AJ$19)))</f>
        <v>11.349999999999998</v>
      </c>
      <c r="D14" s="173">
        <f>IF($B14&gt;Inputs!$G$18,"",LOOKUP($B14,'Cash Flow'!$F$2:$AJ$2,'Cash Flow'!$F$29:$AJ$29))</f>
        <v>779159.65071321232</v>
      </c>
      <c r="E14" s="173">
        <f>IF($B14&gt;Inputs!$G$18,"",LOOKUP($B14,'Cash Flow'!$F$2:$AJ$2,'Cash Flow'!$F$47:$AJ$47))</f>
        <v>-403060.01655012055</v>
      </c>
      <c r="F14" s="173">
        <f>IF($B14&gt;Inputs!$G$18,"",LOOKUP($B14,'Cash Flow'!$F$2:$AJ$2,'Cash Flow'!$F$97:$AJ$97))</f>
        <v>-246779.8742810307</v>
      </c>
      <c r="G14" s="173">
        <f>IF($B14&gt;Inputs!$G$18,"",LOOKUP($B14,'Cash Flow'!$F$2:$AJ$2,'Cash Flow'!$F$59:$AJ$59)+LOOKUP($B14,'Cash Flow'!$F$2:$AJ$2,'Cash Flow'!$F$60:$AJ$60))</f>
        <v>0</v>
      </c>
      <c r="H14" s="173">
        <f>IF($B14&gt;Inputs!$G$18,"",SUM(D14:G14))</f>
        <v>129319.75988206107</v>
      </c>
      <c r="I14" s="173">
        <f>IF($B14&gt;Inputs!$G$18,"",LOOKUP($B14,'Cash Flow'!$F$2:$AJ$2,'Cash Flow'!$F$72:$AJ$72))</f>
        <v>286870.11010364245</v>
      </c>
      <c r="J14" s="173">
        <f>IF($B14&gt;Inputs!$G$18,"",LOOKUP($B14,'Cash Flow'!$F$2:$AJ$2,'Cash Flow'!$F$73:$AJ$73))</f>
        <v>286870.11010364245</v>
      </c>
      <c r="K14" s="173">
        <f>IF($B14&gt;Inputs!$G$18,"",LOOKUP($B14,'Cash Flow'!$F$2:$AJ$2,'Cash Flow'!$F$75:$AJ$75)+LOOKUP($B14,'Cash Flow'!$F$2:$AJ$2,'Cash Flow'!$F$77:$AJ$77))</f>
        <v>-45821.673994034412</v>
      </c>
      <c r="L14" s="173">
        <f>IF($B14&gt;Inputs!$G$18,"",LOOKUP($B14,'Cash Flow'!$F$2:$AJ$2,'Cash Flow'!$F$76:$AJ$76)+LOOKUP($B14,'Cash Flow'!$F$2:$AJ$2,'Cash Flow'!$F$78:$AJ$78))</f>
        <v>-19072.475886912038</v>
      </c>
      <c r="M14" s="173">
        <f>IF($B14&gt;Inputs!$G$18,"",H14+K14+L14)</f>
        <v>64425.610001114619</v>
      </c>
      <c r="N14" s="173">
        <f>IF($B14&gt;Inputs!$G$18,N13,N13+M14)</f>
        <v>446364.16922930523</v>
      </c>
      <c r="O14" s="177">
        <f>IF($B14&gt;Inputs!$G$18,"",LOOKUP($B14,'Cash Flow'!$F$2:$AJ$2,'Cash Flow'!$F$80:$AJ$80))</f>
        <v>7.8472196121055271E-2</v>
      </c>
      <c r="P14" s="178">
        <f>IF($B14&gt;Inputs!$G$18,"",LOOKUP($B14,'Cash Flow'!$F$2:$AJ$2,'Cash Flow'!$F$53:$AJ$53))</f>
        <v>1.524028793915313</v>
      </c>
      <c r="R14" s="392">
        <f>IF($B14&gt;Inputs!$G$18,"",D14+K14+L14)</f>
        <v>714265.50083226583</v>
      </c>
      <c r="S14" s="393">
        <f>IF($B14&gt;Inputs!$G$18,"",-(E14+F14+G14))</f>
        <v>649839.89083115128</v>
      </c>
    </row>
    <row r="15" spans="2:19">
      <c r="B15" s="175">
        <v>9</v>
      </c>
      <c r="C15" s="176">
        <f>IF($B15&gt;Inputs!$G$18,"",IF($B15&lt;=Inputs!$Q$22,LOOKUP($B15,'Cash Flow'!$F$2:$AJ$2,'Cash Flow'!$F$17:$AJ$17),LOOKUP($B15,'Cash Flow'!$F$2:$AJ$2,'Cash Flow'!$F$19:$AJ$19)))</f>
        <v>11.349999999999998</v>
      </c>
      <c r="D15" s="173">
        <f>IF($B15&gt;Inputs!$G$18,"",LOOKUP($B15,'Cash Flow'!$F$2:$AJ$2,'Cash Flow'!$F$29:$AJ$29))</f>
        <v>780409.4115301295</v>
      </c>
      <c r="E15" s="173">
        <f>IF($B15&gt;Inputs!$G$18,"",LOOKUP($B15,'Cash Flow'!$F$2:$AJ$2,'Cash Flow'!$F$47:$AJ$47))</f>
        <v>-411121.21688112291</v>
      </c>
      <c r="F15" s="173">
        <f>IF($B15&gt;Inputs!$G$18,"",LOOKUP($B15,'Cash Flow'!$F$2:$AJ$2,'Cash Flow'!$F$97:$AJ$97))</f>
        <v>-246779.87428103067</v>
      </c>
      <c r="G15" s="173">
        <f>IF($B15&gt;Inputs!$G$18,"",LOOKUP($B15,'Cash Flow'!$F$2:$AJ$2,'Cash Flow'!$F$59:$AJ$59)+LOOKUP($B15,'Cash Flow'!$F$2:$AJ$2,'Cash Flow'!$F$60:$AJ$60))</f>
        <v>0</v>
      </c>
      <c r="H15" s="173">
        <f>IF($B15&gt;Inputs!$G$18,"",SUM(D15:G15))</f>
        <v>122508.32036797592</v>
      </c>
      <c r="I15" s="173">
        <f>IF($B15&gt;Inputs!$G$18,"",LOOKUP($B15,'Cash Flow'!$F$2:$AJ$2,'Cash Flow'!$F$72:$AJ$72))</f>
        <v>291586.33510506799</v>
      </c>
      <c r="J15" s="173">
        <f>IF($B15&gt;Inputs!$G$18,"",LOOKUP($B15,'Cash Flow'!$F$2:$AJ$2,'Cash Flow'!$F$73:$AJ$73))</f>
        <v>291586.33510506799</v>
      </c>
      <c r="K15" s="173">
        <f>IF($B15&gt;Inputs!$G$18,"",LOOKUP($B15,'Cash Flow'!$F$2:$AJ$2,'Cash Flow'!$F$75:$AJ$75)+LOOKUP($B15,'Cash Flow'!$F$2:$AJ$2,'Cash Flow'!$F$77:$AJ$77))</f>
        <v>-46411.075475407786</v>
      </c>
      <c r="L15" s="173">
        <f>IF($B15&gt;Inputs!$G$18,"",LOOKUP($B15,'Cash Flow'!$F$2:$AJ$2,'Cash Flow'!$F$76:$AJ$76)+LOOKUP($B15,'Cash Flow'!$F$2:$AJ$2,'Cash Flow'!$F$78:$AJ$78))</f>
        <v>-19367.125342595256</v>
      </c>
      <c r="M15" s="173">
        <f>IF($B15&gt;Inputs!$G$18,"",H15+K15+L15)</f>
        <v>56730.119549972864</v>
      </c>
      <c r="N15" s="173">
        <f>IF($B15&gt;Inputs!$G$18,N14,N14+M15)</f>
        <v>503094.28877927811</v>
      </c>
      <c r="O15" s="177">
        <f>IF($B15&gt;Inputs!$G$18,"",LOOKUP($B15,'Cash Flow'!$F$2:$AJ$2,'Cash Flow'!$F$80:$AJ$80))</f>
        <v>8.4414089718550356E-2</v>
      </c>
      <c r="P15" s="178">
        <f>IF($B15&gt;Inputs!$G$18,"",LOOKUP($B15,'Cash Flow'!$F$2:$AJ$2,'Cash Flow'!$F$53:$AJ$53))</f>
        <v>1.4964275175392323</v>
      </c>
      <c r="R15" s="392">
        <f>IF($B15&gt;Inputs!$G$18,"",D15+K15+L15)</f>
        <v>714631.21071212646</v>
      </c>
      <c r="S15" s="393">
        <f>IF($B15&gt;Inputs!$G$18,"",-(E15+F15+G15))</f>
        <v>657901.09116215352</v>
      </c>
    </row>
    <row r="16" spans="2:19">
      <c r="B16" s="175">
        <v>10</v>
      </c>
      <c r="C16" s="176">
        <f>IF($B16&gt;Inputs!$G$18,"",IF($B16&lt;=Inputs!$Q$22,LOOKUP($B16,'Cash Flow'!$F$2:$AJ$2,'Cash Flow'!$F$17:$AJ$17),LOOKUP($B16,'Cash Flow'!$F$2:$AJ$2,'Cash Flow'!$F$19:$AJ$19)))</f>
        <v>11.349999999999998</v>
      </c>
      <c r="D16" s="173">
        <f>IF($B16&gt;Inputs!$G$18,"",LOOKUP($B16,'Cash Flow'!$F$2:$AJ$2,'Cash Flow'!$F$29:$AJ$29))</f>
        <v>781684.16756338486</v>
      </c>
      <c r="E16" s="173">
        <f>IF($B16&gt;Inputs!$G$18,"",LOOKUP($B16,'Cash Flow'!$F$2:$AJ$2,'Cash Flow'!$F$47:$AJ$47))</f>
        <v>-419343.64121874544</v>
      </c>
      <c r="F16" s="173">
        <f>IF($B16&gt;Inputs!$G$18,"",LOOKUP($B16,'Cash Flow'!$F$2:$AJ$2,'Cash Flow'!$F$97:$AJ$97))</f>
        <v>-246779.87428103067</v>
      </c>
      <c r="G16" s="173">
        <f>IF($B16&gt;Inputs!$G$18,"",LOOKUP($B16,'Cash Flow'!$F$2:$AJ$2,'Cash Flow'!$F$59:$AJ$59)+LOOKUP($B16,'Cash Flow'!$F$2:$AJ$2,'Cash Flow'!$F$60:$AJ$60))</f>
        <v>0</v>
      </c>
      <c r="H16" s="173">
        <f>IF($B16&gt;Inputs!$G$18,"",SUM(D16:G16))</f>
        <v>115560.65206360875</v>
      </c>
      <c r="I16" s="173">
        <f>IF($B16&gt;Inputs!$G$18,"",LOOKUP($B16,'Cash Flow'!$F$2:$AJ$2,'Cash Flow'!$F$72:$AJ$72))</f>
        <v>296961.21158229728</v>
      </c>
      <c r="J16" s="173">
        <f>IF($B16&gt;Inputs!$G$18,"",LOOKUP($B16,'Cash Flow'!$F$2:$AJ$2,'Cash Flow'!$F$73:$AJ$73))</f>
        <v>296961.21158229728</v>
      </c>
      <c r="K16" s="173">
        <f>IF($B16&gt;Inputs!$G$18,"",LOOKUP($B16,'Cash Flow'!$F$2:$AJ$2,'Cash Flow'!$F$75:$AJ$75)+LOOKUP($B16,'Cash Flow'!$F$2:$AJ$2,'Cash Flow'!$F$77:$AJ$77))</f>
        <v>-47192.990700400682</v>
      </c>
      <c r="L16" s="173">
        <f>IF($B16&gt;Inputs!$G$18,"",LOOKUP($B16,'Cash Flow'!$F$2:$AJ$2,'Cash Flow'!$F$76:$AJ$76)+LOOKUP($B16,'Cash Flow'!$F$2:$AJ$2,'Cash Flow'!$F$78:$AJ$78))</f>
        <v>-19715.635580333037</v>
      </c>
      <c r="M16" s="173">
        <f>IF($B16&gt;Inputs!$G$18,"",H16+K16+L16)</f>
        <v>48652.025782875033</v>
      </c>
      <c r="N16" s="173">
        <f>IF($B16&gt;Inputs!$G$18,N15,N15+M16)</f>
        <v>551746.31456215319</v>
      </c>
      <c r="O16" s="177">
        <f>IF($B16&gt;Inputs!$G$18,"",LOOKUP($B16,'Cash Flow'!$F$2:$AJ$2,'Cash Flow'!$F$80:$AJ$80))</f>
        <v>8.8818010374481338E-2</v>
      </c>
      <c r="P16" s="178">
        <f>IF($B16&gt;Inputs!$G$18,"",LOOKUP($B16,'Cash Flow'!$F$2:$AJ$2,'Cash Flow'!$F$53:$AJ$53))</f>
        <v>1.468274215635629</v>
      </c>
      <c r="R16" s="392">
        <f>IF($B16&gt;Inputs!$G$18,"",D16+K16+L16)</f>
        <v>714775.54128265113</v>
      </c>
      <c r="S16" s="393">
        <f>IF($B16&gt;Inputs!$G$18,"",-(E16+F16+G16))</f>
        <v>666123.51549977611</v>
      </c>
    </row>
    <row r="17" spans="2:19">
      <c r="B17" s="181">
        <v>11</v>
      </c>
      <c r="C17" s="176">
        <f>IF($B17&gt;Inputs!$G$18,"",IF($B17&lt;=Inputs!$Q$22,LOOKUP($B17,'Cash Flow'!$F$2:$AJ$2,'Cash Flow'!$F$17:$AJ$17),LOOKUP($B17,'Cash Flow'!$F$2:$AJ$2,'Cash Flow'!$F$19:$AJ$19)))</f>
        <v>11.349999999999998</v>
      </c>
      <c r="D17" s="173">
        <f>IF($B17&gt;Inputs!$G$18,"",LOOKUP($B17,'Cash Flow'!$F$2:$AJ$2,'Cash Flow'!$F$29:$AJ$29))</f>
        <v>716671.60986735858</v>
      </c>
      <c r="E17" s="173">
        <f>IF($B17&gt;Inputs!$G$18,"",LOOKUP($B17,'Cash Flow'!$F$2:$AJ$2,'Cash Flow'!$F$47:$AJ$47))</f>
        <v>-427730.51404312032</v>
      </c>
      <c r="F17" s="173">
        <f>IF($B17&gt;Inputs!$G$18,"",LOOKUP($B17,'Cash Flow'!$F$2:$AJ$2,'Cash Flow'!$F$97:$AJ$97))</f>
        <v>-246779.87428103067</v>
      </c>
      <c r="G17" s="173">
        <f>IF($B17&gt;Inputs!$G$18,"",LOOKUP($B17,'Cash Flow'!$F$2:$AJ$2,'Cash Flow'!$F$59:$AJ$59)+LOOKUP($B17,'Cash Flow'!$F$2:$AJ$2,'Cash Flow'!$F$60:$AJ$60))</f>
        <v>0</v>
      </c>
      <c r="H17" s="173">
        <f>IF($B17&gt;Inputs!$G$18,"",SUM(D17:G17))</f>
        <v>42161.22154320759</v>
      </c>
      <c r="I17" s="173">
        <f>IF($B17&gt;Inputs!$G$18,"",LOOKUP($B17,'Cash Flow'!$F$2:$AJ$2,'Cash Flow'!$F$72:$AJ$72))</f>
        <v>236734.48397820431</v>
      </c>
      <c r="J17" s="173">
        <f>IF($B17&gt;Inputs!$G$18,"",LOOKUP($B17,'Cash Flow'!$F$2:$AJ$2,'Cash Flow'!$F$73:$AJ$73))</f>
        <v>236734.48397820431</v>
      </c>
      <c r="K17" s="173">
        <f>IF($B17&gt;Inputs!$G$18,"",LOOKUP($B17,'Cash Flow'!$F$2:$AJ$2,'Cash Flow'!$F$75:$AJ$75)+LOOKUP($B17,'Cash Flow'!$F$2:$AJ$2,'Cash Flow'!$F$77:$AJ$77))</f>
        <v>-75814.218494019922</v>
      </c>
      <c r="L17" s="173">
        <f>IF($B17&gt;Inputs!$G$18,"",LOOKUP($B17,'Cash Flow'!$F$2:$AJ$2,'Cash Flow'!$F$76:$AJ$76)+LOOKUP($B17,'Cash Flow'!$F$2:$AJ$2,'Cash Flow'!$F$78:$AJ$78))</f>
        <v>-20122.431138147367</v>
      </c>
      <c r="M17" s="173">
        <f>IF($B17&gt;Inputs!$G$18,"",H17+K17+L17)</f>
        <v>-53775.428088959699</v>
      </c>
      <c r="N17" s="173">
        <f>IF($B17&gt;Inputs!$G$18,N16,N16+M17)</f>
        <v>497970.88647319347</v>
      </c>
      <c r="O17" s="177">
        <f>IF($B17&gt;Inputs!$G$18,"",LOOKUP($B17,'Cash Flow'!$F$2:$AJ$2,'Cash Flow'!$F$80:$AJ$80))</f>
        <v>8.4326237962799588E-2</v>
      </c>
      <c r="P17" s="178">
        <f>IF($B17&gt;Inputs!$G$18,"",LOOKUP($B17,'Cash Flow'!$F$2:$AJ$2,'Cash Flow'!$F$53:$AJ$53))</f>
        <v>1.1708454616327213</v>
      </c>
      <c r="R17" s="392">
        <f>IF($B17&gt;Inputs!$G$18,"",D17+K17+L17)</f>
        <v>620734.96023519128</v>
      </c>
      <c r="S17" s="393">
        <f>IF($B17&gt;Inputs!$G$18,"",-(E17+F17+G17))</f>
        <v>674510.38832415105</v>
      </c>
    </row>
    <row r="18" spans="2:19">
      <c r="B18" s="175">
        <v>12</v>
      </c>
      <c r="C18" s="176">
        <f>IF($B18&gt;Inputs!$G$18,"",IF($B18&lt;=Inputs!$Q$22,LOOKUP($B18,'Cash Flow'!$F$2:$AJ$2,'Cash Flow'!$F$17:$AJ$17),LOOKUP($B18,'Cash Flow'!$F$2:$AJ$2,'Cash Flow'!$F$19:$AJ$19)))</f>
        <v>11.349999999999998</v>
      </c>
      <c r="D18" s="173">
        <f>IF($B18&gt;Inputs!$G$18,"",LOOKUP($B18,'Cash Flow'!$F$2:$AJ$2,'Cash Flow'!$F$29:$AJ$29))</f>
        <v>716671.60986735858</v>
      </c>
      <c r="E18" s="173">
        <f>IF($B18&gt;Inputs!$G$18,"",LOOKUP($B18,'Cash Flow'!$F$2:$AJ$2,'Cash Flow'!$F$47:$AJ$47))</f>
        <v>-436285.1243239828</v>
      </c>
      <c r="F18" s="173">
        <f>IF($B18&gt;Inputs!$G$18,"",LOOKUP($B18,'Cash Flow'!$F$2:$AJ$2,'Cash Flow'!$F$97:$AJ$97))</f>
        <v>-246779.87428103067</v>
      </c>
      <c r="G18" s="173">
        <f>IF($B18&gt;Inputs!$G$18,"",LOOKUP($B18,'Cash Flow'!$F$2:$AJ$2,'Cash Flow'!$F$59:$AJ$59)+LOOKUP($B18,'Cash Flow'!$F$2:$AJ$2,'Cash Flow'!$F$60:$AJ$60))</f>
        <v>0</v>
      </c>
      <c r="H18" s="173">
        <f>IF($B18&gt;Inputs!$G$18,"",SUM(D18:G18))</f>
        <v>33606.611262345104</v>
      </c>
      <c r="I18" s="173">
        <f>IF($B18&gt;Inputs!$G$18,"",LOOKUP($B18,'Cash Flow'!$F$2:$AJ$2,'Cash Flow'!$F$72:$AJ$72))</f>
        <v>242287.08581779158</v>
      </c>
      <c r="J18" s="173">
        <f>IF($B18&gt;Inputs!$G$18,"",LOOKUP($B18,'Cash Flow'!$F$2:$AJ$2,'Cash Flow'!$F$73:$AJ$73))</f>
        <v>242287.08581779158</v>
      </c>
      <c r="K18" s="173">
        <f>IF($B18&gt;Inputs!$G$18,"",LOOKUP($B18,'Cash Flow'!$F$2:$AJ$2,'Cash Flow'!$F$75:$AJ$75)+LOOKUP($B18,'Cash Flow'!$F$2:$AJ$2,'Cash Flow'!$F$77:$AJ$77))</f>
        <v>-77592.439233147743</v>
      </c>
      <c r="L18" s="173">
        <f>IF($B18&gt;Inputs!$G$18,"",LOOKUP($B18,'Cash Flow'!$F$2:$AJ$2,'Cash Flow'!$F$76:$AJ$76)+LOOKUP($B18,'Cash Flow'!$F$2:$AJ$2,'Cash Flow'!$F$78:$AJ$78))</f>
        <v>-20594.402294512285</v>
      </c>
      <c r="M18" s="173">
        <f>IF($B18&gt;Inputs!$G$18,"",H18+K18+L18)</f>
        <v>-64580.230265314924</v>
      </c>
      <c r="N18" s="173">
        <f>IF($B18&gt;Inputs!$G$18,N17,N17+M18)</f>
        <v>433390.65620787855</v>
      </c>
      <c r="O18" s="177">
        <f>IF($B18&gt;Inputs!$G$18,"",LOOKUP($B18,'Cash Flow'!$F$2:$AJ$2,'Cash Flow'!$F$80:$AJ$80))</f>
        <v>7.8927770498732563E-2</v>
      </c>
      <c r="P18" s="178">
        <f>IF($B18&gt;Inputs!$G$18,"",LOOKUP($B18,'Cash Flow'!$F$2:$AJ$2,'Cash Flow'!$F$53:$AJ$53))</f>
        <v>1.1361805186109877</v>
      </c>
      <c r="R18" s="392">
        <f>IF($B18&gt;Inputs!$G$18,"",D18+K18+L18)</f>
        <v>618484.76833969855</v>
      </c>
      <c r="S18" s="393">
        <f>IF($B18&gt;Inputs!$G$18,"",-(E18+F18+G18))</f>
        <v>683064.99860501348</v>
      </c>
    </row>
    <row r="19" spans="2:19">
      <c r="B19" s="175">
        <v>13</v>
      </c>
      <c r="C19" s="176">
        <f>IF($B19&gt;Inputs!$G$18,"",IF($B19&lt;=Inputs!$Q$22,LOOKUP($B19,'Cash Flow'!$F$2:$AJ$2,'Cash Flow'!$F$17:$AJ$17),LOOKUP($B19,'Cash Flow'!$F$2:$AJ$2,'Cash Flow'!$F$19:$AJ$19)))</f>
        <v>11.349999999999998</v>
      </c>
      <c r="D19" s="173">
        <f>IF($B19&gt;Inputs!$G$18,"",LOOKUP($B19,'Cash Flow'!$F$2:$AJ$2,'Cash Flow'!$F$29:$AJ$29))</f>
        <v>716671.60986735858</v>
      </c>
      <c r="E19" s="173">
        <f>IF($B19&gt;Inputs!$G$18,"",LOOKUP($B19,'Cash Flow'!$F$2:$AJ$2,'Cash Flow'!$F$47:$AJ$47))</f>
        <v>-445010.8268104624</v>
      </c>
      <c r="F19" s="173">
        <f>IF($B19&gt;Inputs!$G$18,"",LOOKUP($B19,'Cash Flow'!$F$2:$AJ$2,'Cash Flow'!$F$97:$AJ$97))</f>
        <v>-246779.87428103067</v>
      </c>
      <c r="G19" s="173">
        <f>IF($B19&gt;Inputs!$G$18,"",LOOKUP($B19,'Cash Flow'!$F$2:$AJ$2,'Cash Flow'!$F$59:$AJ$59)+LOOKUP($B19,'Cash Flow'!$F$2:$AJ$2,'Cash Flow'!$F$60:$AJ$60))</f>
        <v>0</v>
      </c>
      <c r="H19" s="173">
        <f>IF($B19&gt;Inputs!$G$18,"",SUM(D19:G19))</f>
        <v>24880.908775865508</v>
      </c>
      <c r="I19" s="173">
        <f>IF($B19&gt;Inputs!$G$18,"",LOOKUP($B19,'Cash Flow'!$F$2:$AJ$2,'Cash Flow'!$F$72:$AJ$72))</f>
        <v>248643.68030019323</v>
      </c>
      <c r="J19" s="173">
        <f>IF($B19&gt;Inputs!$G$18,"",LOOKUP($B19,'Cash Flow'!$F$2:$AJ$2,'Cash Flow'!$F$73:$AJ$73))</f>
        <v>248643.68030019323</v>
      </c>
      <c r="K19" s="173">
        <f>IF($B19&gt;Inputs!$G$18,"",LOOKUP($B19,'Cash Flow'!$F$2:$AJ$2,'Cash Flow'!$F$75:$AJ$75)+LOOKUP($B19,'Cash Flow'!$F$2:$AJ$2,'Cash Flow'!$F$77:$AJ$77))</f>
        <v>-79628.138616136886</v>
      </c>
      <c r="L19" s="173">
        <f>IF($B19&gt;Inputs!$G$18,"",LOOKUP($B19,'Cash Flow'!$F$2:$AJ$2,'Cash Flow'!$F$76:$AJ$76)+LOOKUP($B19,'Cash Flow'!$F$2:$AJ$2,'Cash Flow'!$F$78:$AJ$78))</f>
        <v>-21134.712825516424</v>
      </c>
      <c r="M19" s="173">
        <f>IF($B19&gt;Inputs!$G$18,"",H19+K19+L19)</f>
        <v>-75881.942665787807</v>
      </c>
      <c r="N19" s="173">
        <f>IF($B19&gt;Inputs!$G$18,N18,N18+M19)</f>
        <v>357508.71354209073</v>
      </c>
      <c r="O19" s="177">
        <f>IF($B19&gt;Inputs!$G$18,"",LOOKUP($B19,'Cash Flow'!$F$2:$AJ$2,'Cash Flow'!$F$80:$AJ$80))</f>
        <v>7.2343097216246655E-2</v>
      </c>
      <c r="P19" s="178">
        <f>IF($B19&gt;Inputs!$G$18,"",LOOKUP($B19,'Cash Flow'!$F$2:$AJ$2,'Cash Flow'!$F$53:$AJ$53))</f>
        <v>1.10082227672882</v>
      </c>
      <c r="R19" s="392">
        <f>IF($B19&gt;Inputs!$G$18,"",D19+K19+L19)</f>
        <v>615908.75842570525</v>
      </c>
      <c r="S19" s="393">
        <f>IF($B19&gt;Inputs!$G$18,"",-(E19+F19+G19))</f>
        <v>691790.70109149301</v>
      </c>
    </row>
    <row r="20" spans="2:19" ht="15">
      <c r="B20" s="181">
        <v>14</v>
      </c>
      <c r="C20" s="176">
        <f>IF($B20&gt;Inputs!$G$18,"",IF($B20&lt;=Inputs!$Q$22,LOOKUP($B20,'Cash Flow'!$F$2:$AJ$2,'Cash Flow'!$F$17:$AJ$17),LOOKUP($B20,'Cash Flow'!$F$2:$AJ$2,'Cash Flow'!$F$19:$AJ$19)))</f>
        <v>11.349999999999998</v>
      </c>
      <c r="D20" s="173">
        <f>IF($B20&gt;Inputs!$G$18,"",LOOKUP($B20,'Cash Flow'!$F$2:$AJ$2,'Cash Flow'!$F$29:$AJ$29))</f>
        <v>715746.18533880473</v>
      </c>
      <c r="E20" s="173">
        <f>IF($B20&gt;Inputs!$G$18,"",LOOKUP($B20,'Cash Flow'!$F$2:$AJ$2,'Cash Flow'!$F$47:$AJ$47))</f>
        <v>-453911.04334667168</v>
      </c>
      <c r="F20" s="173">
        <f>IF($B20&gt;Inputs!$G$18,"",LOOKUP($B20,'Cash Flow'!$F$2:$AJ$2,'Cash Flow'!$F$97:$AJ$97))</f>
        <v>0</v>
      </c>
      <c r="G20" s="173">
        <f>IF($B20&gt;Inputs!$G$18,"",LOOKUP($B20,'Cash Flow'!$F$2:$AJ$2,'Cash Flow'!$F$59:$AJ$59)+LOOKUP($B20,'Cash Flow'!$F$2:$AJ$2,'Cash Flow'!$F$60:$AJ$60))</f>
        <v>123389.93714051534</v>
      </c>
      <c r="H20" s="173">
        <f>IF($B20&gt;Inputs!$G$18,"",SUM(D20:G20))</f>
        <v>385225.07913264842</v>
      </c>
      <c r="I20" s="173">
        <f>IF($B20&gt;Inputs!$G$18,"",LOOKUP($B20,'Cash Flow'!$F$2:$AJ$2,'Cash Flow'!$F$72:$AJ$72))</f>
        <v>254968.51699213305</v>
      </c>
      <c r="J20" s="173">
        <f>IF($B20&gt;Inputs!$G$18,"",LOOKUP($B20,'Cash Flow'!$F$2:$AJ$2,'Cash Flow'!$F$73:$AJ$73))</f>
        <v>254968.51699213305</v>
      </c>
      <c r="K20" s="173">
        <f>IF($B20&gt;Inputs!$G$18,"",LOOKUP($B20,'Cash Flow'!$F$2:$AJ$2,'Cash Flow'!$F$75:$AJ$75)+LOOKUP($B20,'Cash Flow'!$F$2:$AJ$2,'Cash Flow'!$F$77:$AJ$77))</f>
        <v>-81653.667566730597</v>
      </c>
      <c r="L20" s="173">
        <f>IF($B20&gt;Inputs!$G$18,"",LOOKUP($B20,'Cash Flow'!$F$2:$AJ$2,'Cash Flow'!$F$76:$AJ$76)+LOOKUP($B20,'Cash Flow'!$F$2:$AJ$2,'Cash Flow'!$F$78:$AJ$78))</f>
        <v>-21672.32394433131</v>
      </c>
      <c r="M20" s="173">
        <f>IF($B20&gt;Inputs!$G$18,"",H20+K20+L20)</f>
        <v>281899.08762158651</v>
      </c>
      <c r="N20" s="173">
        <f>IF($B20&gt;Inputs!$G$18,N19,N19+M20)</f>
        <v>639407.80116367724</v>
      </c>
      <c r="O20" s="177">
        <f>IF($B20&gt;Inputs!$G$18,"",LOOKUP($B20,'Cash Flow'!$F$2:$AJ$2,'Cash Flow'!$F$80:$AJ$80))</f>
        <v>9.1966671569487568E-2</v>
      </c>
      <c r="P20" s="178" t="str">
        <f>IF($B20&gt;Inputs!$G$18,"",LOOKUP($B20,'Cash Flow'!$F$2:$AJ$2,'Cash Flow'!$F$53:$AJ$53))</f>
        <v>N/A</v>
      </c>
      <c r="R20" s="392">
        <f>IF($B20&gt;Inputs!$G$18,"",D20+K20+L20)</f>
        <v>612420.19382774283</v>
      </c>
      <c r="S20" s="393">
        <f>IF($B20&gt;Inputs!$G$18,"",-(E20+F20+G20))</f>
        <v>330521.10620615631</v>
      </c>
    </row>
    <row r="21" spans="2:19" ht="15">
      <c r="B21" s="175">
        <v>15</v>
      </c>
      <c r="C21" s="176">
        <f>IF($B21&gt;Inputs!$G$18,"",IF($B21&lt;=Inputs!$Q$22,LOOKUP($B21,'Cash Flow'!$F$2:$AJ$2,'Cash Flow'!$F$17:$AJ$17),LOOKUP($B21,'Cash Flow'!$F$2:$AJ$2,'Cash Flow'!$F$19:$AJ$19)))</f>
        <v>11.349999999999998</v>
      </c>
      <c r="D21" s="173">
        <f>IF($B21&gt;Inputs!$G$18,"",LOOKUP($B21,'Cash Flow'!$F$2:$AJ$2,'Cash Flow'!$F$29:$AJ$29))</f>
        <v>714820.76081025088</v>
      </c>
      <c r="E21" s="173">
        <f>IF($B21&gt;Inputs!$G$18,"",LOOKUP($B21,'Cash Flow'!$F$2:$AJ$2,'Cash Flow'!$F$47:$AJ$47))</f>
        <v>-462989.26421360514</v>
      </c>
      <c r="F21" s="173">
        <f>IF($B21&gt;Inputs!$G$18,"",LOOKUP($B21,'Cash Flow'!$F$2:$AJ$2,'Cash Flow'!$F$97:$AJ$97))</f>
        <v>0</v>
      </c>
      <c r="G21" s="173">
        <f>IF($B21&gt;Inputs!$G$18,"",LOOKUP($B21,'Cash Flow'!$F$2:$AJ$2,'Cash Flow'!$F$59:$AJ$59)+LOOKUP($B21,'Cash Flow'!$F$2:$AJ$2,'Cash Flow'!$F$60:$AJ$60))</f>
        <v>0</v>
      </c>
      <c r="H21" s="173">
        <f>IF($B21&gt;Inputs!$G$18,"",SUM(D21:G21))</f>
        <v>251831.49659664574</v>
      </c>
      <c r="I21" s="173">
        <f>IF($B21&gt;Inputs!$G$18,"",LOOKUP($B21,'Cash Flow'!$F$2:$AJ$2,'Cash Flow'!$F$72:$AJ$72))</f>
        <v>244958.87159664574</v>
      </c>
      <c r="J21" s="173">
        <f>IF($B21&gt;Inputs!$G$18,"",LOOKUP($B21,'Cash Flow'!$F$2:$AJ$2,'Cash Flow'!$F$73:$AJ$73))</f>
        <v>244958.87159664574</v>
      </c>
      <c r="K21" s="173">
        <f>IF($B21&gt;Inputs!$G$18,"",LOOKUP($B21,'Cash Flow'!$F$2:$AJ$2,'Cash Flow'!$F$75:$AJ$75)+LOOKUP($B21,'Cash Flow'!$F$2:$AJ$2,'Cash Flow'!$F$77:$AJ$77))</f>
        <v>-78448.078628825795</v>
      </c>
      <c r="L21" s="173">
        <f>IF($B21&gt;Inputs!$G$18,"",LOOKUP($B21,'Cash Flow'!$F$2:$AJ$2,'Cash Flow'!$F$76:$AJ$76)+LOOKUP($B21,'Cash Flow'!$F$2:$AJ$2,'Cash Flow'!$F$78:$AJ$78))</f>
        <v>-20821.504085714889</v>
      </c>
      <c r="M21" s="173">
        <f>IF($B21&gt;Inputs!$G$18,"",H21+K21+L21)</f>
        <v>152561.91388210506</v>
      </c>
      <c r="N21" s="173">
        <f>IF($B21&gt;Inputs!$G$18,N20,N20+M21)</f>
        <v>791969.71504578227</v>
      </c>
      <c r="O21" s="177">
        <f>IF($B21&gt;Inputs!$G$18,"",LOOKUP($B21,'Cash Flow'!$F$2:$AJ$2,'Cash Flow'!$F$80:$AJ$80))</f>
        <v>9.9350674436399E-2</v>
      </c>
      <c r="P21" s="178" t="str">
        <f>IF($B21&gt;Inputs!$G$18,"",LOOKUP($B21,'Cash Flow'!$F$2:$AJ$2,'Cash Flow'!$F$53:$AJ$53))</f>
        <v>N/A</v>
      </c>
      <c r="R21" s="392">
        <f>IF($B21&gt;Inputs!$G$18,"",D21+K21+L21)</f>
        <v>615551.17809571011</v>
      </c>
      <c r="S21" s="393">
        <f>IF($B21&gt;Inputs!$G$18,"",-(E21+F21+G21))</f>
        <v>462989.26421360514</v>
      </c>
    </row>
    <row r="22" spans="2:19" ht="15">
      <c r="B22" s="175">
        <v>16</v>
      </c>
      <c r="C22" s="176">
        <f>IF($B22&gt;Inputs!$G$18,"",IF($B22&lt;=Inputs!$Q$22,LOOKUP($B22,'Cash Flow'!$F$2:$AJ$2,'Cash Flow'!$F$17:$AJ$17),LOOKUP($B22,'Cash Flow'!$F$2:$AJ$2,'Cash Flow'!$F$19:$AJ$19)))</f>
        <v>11.349999999999998</v>
      </c>
      <c r="D22" s="173">
        <f>IF($B22&gt;Inputs!$G$18,"",LOOKUP($B22,'Cash Flow'!$F$2:$AJ$2,'Cash Flow'!$F$29:$AJ$29))</f>
        <v>714820.76081025088</v>
      </c>
      <c r="E22" s="173">
        <f>IF($B22&gt;Inputs!$G$18,"",LOOKUP($B22,'Cash Flow'!$F$2:$AJ$2,'Cash Flow'!$F$47:$AJ$47))</f>
        <v>-472249.04949787725</v>
      </c>
      <c r="F22" s="173">
        <f>IF($B22&gt;Inputs!$G$18,"",LOOKUP($B22,'Cash Flow'!$F$2:$AJ$2,'Cash Flow'!$F$97:$AJ$97))</f>
        <v>0</v>
      </c>
      <c r="G22" s="173">
        <f>IF($B22&gt;Inputs!$G$18,"",LOOKUP($B22,'Cash Flow'!$F$2:$AJ$2,'Cash Flow'!$F$59:$AJ$59)+LOOKUP($B22,'Cash Flow'!$F$2:$AJ$2,'Cash Flow'!$F$60:$AJ$60))</f>
        <v>0</v>
      </c>
      <c r="H22" s="173">
        <f>IF($B22&gt;Inputs!$G$18,"",SUM(D22:G22))</f>
        <v>242571.71131237363</v>
      </c>
      <c r="I22" s="173">
        <f>IF($B22&gt;Inputs!$G$18,"",LOOKUP($B22,'Cash Flow'!$F$2:$AJ$2,'Cash Flow'!$F$72:$AJ$72))</f>
        <v>237364.46131237363</v>
      </c>
      <c r="J22" s="173">
        <f>IF($B22&gt;Inputs!$G$18,"",LOOKUP($B22,'Cash Flow'!$F$2:$AJ$2,'Cash Flow'!$F$73:$AJ$73))</f>
        <v>237364.46131237363</v>
      </c>
      <c r="K22" s="173">
        <f>IF($B22&gt;Inputs!$G$18,"",LOOKUP($B22,'Cash Flow'!$F$2:$AJ$2,'Cash Flow'!$F$75:$AJ$75)+LOOKUP($B22,'Cash Flow'!$F$2:$AJ$2,'Cash Flow'!$F$77:$AJ$77))</f>
        <v>-76015.96873528765</v>
      </c>
      <c r="L22" s="173">
        <f>IF($B22&gt;Inputs!$G$18,"",LOOKUP($B22,'Cash Flow'!$F$2:$AJ$2,'Cash Flow'!$F$76:$AJ$76)+LOOKUP($B22,'Cash Flow'!$F$2:$AJ$2,'Cash Flow'!$F$78:$AJ$78))</f>
        <v>-20175.979211551759</v>
      </c>
      <c r="M22" s="173">
        <f>IF($B22&gt;Inputs!$G$18,"",H22+K22+L22)</f>
        <v>146379.76336553422</v>
      </c>
      <c r="N22" s="173">
        <f>IF($B22&gt;Inputs!$G$18,N21,N21+M22)</f>
        <v>938349.47841131652</v>
      </c>
      <c r="O22" s="177">
        <f>IF($B22&gt;Inputs!$G$18,"",LOOKUP($B22,'Cash Flow'!$F$2:$AJ$2,'Cash Flow'!$F$80:$AJ$80))</f>
        <v>0.10495214847886247</v>
      </c>
      <c r="P22" s="178" t="str">
        <f>IF($B22&gt;Inputs!$G$18,"",LOOKUP($B22,'Cash Flow'!$F$2:$AJ$2,'Cash Flow'!$F$53:$AJ$53))</f>
        <v>N/A</v>
      </c>
      <c r="R22" s="392">
        <f>IF($B22&gt;Inputs!$G$18,"",D22+K22+L22)</f>
        <v>618628.8128634115</v>
      </c>
      <c r="S22" s="393">
        <f>IF($B22&gt;Inputs!$G$18,"",-(E22+F22+G22))</f>
        <v>472249.04949787725</v>
      </c>
    </row>
    <row r="23" spans="2:19" ht="15">
      <c r="B23" s="181">
        <v>17</v>
      </c>
      <c r="C23" s="176">
        <f>IF($B23&gt;Inputs!$G$18,"",IF($B23&lt;=Inputs!$Q$22,LOOKUP($B23,'Cash Flow'!$F$2:$AJ$2,'Cash Flow'!$F$17:$AJ$17),LOOKUP($B23,'Cash Flow'!$F$2:$AJ$2,'Cash Flow'!$F$19:$AJ$19)))</f>
        <v>11.349999999999998</v>
      </c>
      <c r="D23" s="173">
        <f>IF($B23&gt;Inputs!$G$18,"",LOOKUP($B23,'Cash Flow'!$F$2:$AJ$2,'Cash Flow'!$F$29:$AJ$29))</f>
        <v>714820.76081025088</v>
      </c>
      <c r="E23" s="173">
        <f>IF($B23&gt;Inputs!$G$18,"",LOOKUP($B23,'Cash Flow'!$F$2:$AJ$2,'Cash Flow'!$F$47:$AJ$47))</f>
        <v>-481694.03048783483</v>
      </c>
      <c r="F23" s="173">
        <f>IF($B23&gt;Inputs!$G$18,"",LOOKUP($B23,'Cash Flow'!$F$2:$AJ$2,'Cash Flow'!$F$97:$AJ$97))</f>
        <v>0</v>
      </c>
      <c r="G23" s="173">
        <f>IF($B23&gt;Inputs!$G$18,"",LOOKUP($B23,'Cash Flow'!$F$2:$AJ$2,'Cash Flow'!$F$59:$AJ$59)+LOOKUP($B23,'Cash Flow'!$F$2:$AJ$2,'Cash Flow'!$F$60:$AJ$60))</f>
        <v>0</v>
      </c>
      <c r="H23" s="173">
        <f>IF($B23&gt;Inputs!$G$18,"",SUM(D23:G23))</f>
        <v>233126.73032241606</v>
      </c>
      <c r="I23" s="173">
        <f>IF($B23&gt;Inputs!$G$18,"",LOOKUP($B23,'Cash Flow'!$F$2:$AJ$2,'Cash Flow'!$F$72:$AJ$72))</f>
        <v>229578.48032241606</v>
      </c>
      <c r="J23" s="173">
        <f>IF($B23&gt;Inputs!$G$18,"",LOOKUP($B23,'Cash Flow'!$F$2:$AJ$2,'Cash Flow'!$F$73:$AJ$73))</f>
        <v>229578.48032241606</v>
      </c>
      <c r="K23" s="173">
        <f>IF($B23&gt;Inputs!$G$18,"",LOOKUP($B23,'Cash Flow'!$F$2:$AJ$2,'Cash Flow'!$F$75:$AJ$75)+LOOKUP($B23,'Cash Flow'!$F$2:$AJ$2,'Cash Flow'!$F$77:$AJ$77))</f>
        <v>-73522.508323253744</v>
      </c>
      <c r="L23" s="173">
        <f>IF($B23&gt;Inputs!$G$18,"",LOOKUP($B23,'Cash Flow'!$F$2:$AJ$2,'Cash Flow'!$F$76:$AJ$76)+LOOKUP($B23,'Cash Flow'!$F$2:$AJ$2,'Cash Flow'!$F$78:$AJ$78))</f>
        <v>-19514.170827405367</v>
      </c>
      <c r="M23" s="173">
        <f>IF($B23&gt;Inputs!$G$18,"",H23+K23+L23)</f>
        <v>140090.05117175693</v>
      </c>
      <c r="N23" s="173">
        <f>IF($B23&gt;Inputs!$G$18,N22,N22+M23)</f>
        <v>1078439.5295830735</v>
      </c>
      <c r="O23" s="177">
        <f>IF($B23&gt;Inputs!$G$18,"",LOOKUP($B23,'Cash Flow'!$F$2:$AJ$2,'Cash Flow'!$F$80:$AJ$80))</f>
        <v>0.10928620226272545</v>
      </c>
      <c r="P23" s="178" t="str">
        <f>IF($B23&gt;Inputs!$G$18,"",LOOKUP($B23,'Cash Flow'!$F$2:$AJ$2,'Cash Flow'!$F$53:$AJ$53))</f>
        <v>N/A</v>
      </c>
      <c r="R23" s="392">
        <f>IF($B23&gt;Inputs!$G$18,"",D23+K23+L23)</f>
        <v>621784.08165959176</v>
      </c>
      <c r="S23" s="393">
        <f>IF($B23&gt;Inputs!$G$18,"",-(E23+F23+G23))</f>
        <v>481694.03048783483</v>
      </c>
    </row>
    <row r="24" spans="2:19" ht="15">
      <c r="B24" s="175">
        <v>18</v>
      </c>
      <c r="C24" s="176">
        <f>IF($B24&gt;Inputs!$G$18,"",IF($B24&lt;=Inputs!$Q$22,LOOKUP($B24,'Cash Flow'!$F$2:$AJ$2,'Cash Flow'!$F$17:$AJ$17),LOOKUP($B24,'Cash Flow'!$F$2:$AJ$2,'Cash Flow'!$F$19:$AJ$19)))</f>
        <v>11.349999999999998</v>
      </c>
      <c r="D24" s="173">
        <f>IF($B24&gt;Inputs!$G$18,"",LOOKUP($B24,'Cash Flow'!$F$2:$AJ$2,'Cash Flow'!$F$29:$AJ$29))</f>
        <v>714820.76081025088</v>
      </c>
      <c r="E24" s="173">
        <f>IF($B24&gt;Inputs!$G$18,"",LOOKUP($B24,'Cash Flow'!$F$2:$AJ$2,'Cash Flow'!$F$47:$AJ$47))</f>
        <v>-491327.91109759163</v>
      </c>
      <c r="F24" s="173">
        <f>IF($B24&gt;Inputs!$G$18,"",LOOKUP($B24,'Cash Flow'!$F$2:$AJ$2,'Cash Flow'!$F$97:$AJ$97))</f>
        <v>0</v>
      </c>
      <c r="G24" s="173">
        <f>IF($B24&gt;Inputs!$G$18,"",LOOKUP($B24,'Cash Flow'!$F$2:$AJ$2,'Cash Flow'!$F$59:$AJ$59)+LOOKUP($B24,'Cash Flow'!$F$2:$AJ$2,'Cash Flow'!$F$60:$AJ$60))</f>
        <v>0</v>
      </c>
      <c r="H24" s="173">
        <f>IF($B24&gt;Inputs!$G$18,"",SUM(D24:G24))</f>
        <v>223492.84971265926</v>
      </c>
      <c r="I24" s="173">
        <f>IF($B24&gt;Inputs!$G$18,"",LOOKUP($B24,'Cash Flow'!$F$2:$AJ$2,'Cash Flow'!$F$72:$AJ$72))</f>
        <v>219944.97471265926</v>
      </c>
      <c r="J24" s="173">
        <f>IF($B24&gt;Inputs!$G$18,"",LOOKUP($B24,'Cash Flow'!$F$2:$AJ$2,'Cash Flow'!$F$73:$AJ$73))</f>
        <v>219944.97471265926</v>
      </c>
      <c r="K24" s="173">
        <f>IF($B24&gt;Inputs!$G$18,"",LOOKUP($B24,'Cash Flow'!$F$2:$AJ$2,'Cash Flow'!$F$75:$AJ$75)+LOOKUP($B24,'Cash Flow'!$F$2:$AJ$2,'Cash Flow'!$F$77:$AJ$77))</f>
        <v>-70437.378151729121</v>
      </c>
      <c r="L24" s="173">
        <f>IF($B24&gt;Inputs!$G$18,"",LOOKUP($B24,'Cash Flow'!$F$2:$AJ$2,'Cash Flow'!$F$76:$AJ$76)+LOOKUP($B24,'Cash Flow'!$F$2:$AJ$2,'Cash Flow'!$F$78:$AJ$78))</f>
        <v>-18695.322850576038</v>
      </c>
      <c r="M24" s="173">
        <f>IF($B24&gt;Inputs!$G$18,"",H24+K24+L24)</f>
        <v>134360.14871035409</v>
      </c>
      <c r="N24" s="173">
        <f>IF($B24&gt;Inputs!$G$18,N23,N23+M24)</f>
        <v>1212799.6782934275</v>
      </c>
      <c r="O24" s="177">
        <f>IF($B24&gt;Inputs!$G$18,"",LOOKUP($B24,'Cash Flow'!$F$2:$AJ$2,'Cash Flow'!$F$80:$AJ$80))</f>
        <v>0.1127015966335343</v>
      </c>
      <c r="P24" s="178" t="str">
        <f>IF($B24&gt;Inputs!$G$18,"",LOOKUP($B24,'Cash Flow'!$F$2:$AJ$2,'Cash Flow'!$F$53:$AJ$53))</f>
        <v>N/A</v>
      </c>
      <c r="R24" s="392">
        <f>IF($B24&gt;Inputs!$G$18,"",D24+K24+L24)</f>
        <v>625688.05980794574</v>
      </c>
      <c r="S24" s="393">
        <f>IF($B24&gt;Inputs!$G$18,"",-(E24+F24+G24))</f>
        <v>491327.91109759163</v>
      </c>
    </row>
    <row r="25" spans="2:19" ht="15">
      <c r="B25" s="175">
        <v>19</v>
      </c>
      <c r="C25" s="176">
        <f>IF($B25&gt;Inputs!$G$18,"",IF($B25&lt;=Inputs!$Q$22,LOOKUP($B25,'Cash Flow'!$F$2:$AJ$2,'Cash Flow'!$F$17:$AJ$17),LOOKUP($B25,'Cash Flow'!$F$2:$AJ$2,'Cash Flow'!$F$19:$AJ$19)))</f>
        <v>11.349999999999998</v>
      </c>
      <c r="D25" s="173">
        <f>IF($B25&gt;Inputs!$G$18,"",LOOKUP($B25,'Cash Flow'!$F$2:$AJ$2,'Cash Flow'!$F$29:$AJ$29))</f>
        <v>714820.76081025088</v>
      </c>
      <c r="E25" s="173">
        <f>IF($B25&gt;Inputs!$G$18,"",LOOKUP($B25,'Cash Flow'!$F$2:$AJ$2,'Cash Flow'!$F$47:$AJ$47))</f>
        <v>-501154.46931954345</v>
      </c>
      <c r="F25" s="173">
        <f>IF($B25&gt;Inputs!$G$18,"",LOOKUP($B25,'Cash Flow'!$F$2:$AJ$2,'Cash Flow'!$F$97:$AJ$97))</f>
        <v>0</v>
      </c>
      <c r="G25" s="173">
        <f>IF($B25&gt;Inputs!$G$18,"",LOOKUP($B25,'Cash Flow'!$F$2:$AJ$2,'Cash Flow'!$F$59:$AJ$59)+LOOKUP($B25,'Cash Flow'!$F$2:$AJ$2,'Cash Flow'!$F$60:$AJ$60))</f>
        <v>0</v>
      </c>
      <c r="H25" s="173">
        <f>IF($B25&gt;Inputs!$G$18,"",SUM(D25:G25))</f>
        <v>213666.29149070743</v>
      </c>
      <c r="I25" s="173">
        <f>IF($B25&gt;Inputs!$G$18,"",LOOKUP($B25,'Cash Flow'!$F$2:$AJ$2,'Cash Flow'!$F$72:$AJ$72))</f>
        <v>210118.04149070743</v>
      </c>
      <c r="J25" s="173">
        <f>IF($B25&gt;Inputs!$G$18,"",LOOKUP($B25,'Cash Flow'!$F$2:$AJ$2,'Cash Flow'!$F$73:$AJ$73))</f>
        <v>210118.04149070743</v>
      </c>
      <c r="K25" s="173">
        <f>IF($B25&gt;Inputs!$G$18,"",LOOKUP($B25,'Cash Flow'!$F$2:$AJ$2,'Cash Flow'!$F$75:$AJ$75)+LOOKUP($B25,'Cash Flow'!$F$2:$AJ$2,'Cash Flow'!$F$77:$AJ$77))</f>
        <v>-67290.30278739905</v>
      </c>
      <c r="L25" s="173">
        <f>IF($B25&gt;Inputs!$G$18,"",LOOKUP($B25,'Cash Flow'!$F$2:$AJ$2,'Cash Flow'!$F$76:$AJ$76)+LOOKUP($B25,'Cash Flow'!$F$2:$AJ$2,'Cash Flow'!$F$78:$AJ$78))</f>
        <v>-17860.033526710133</v>
      </c>
      <c r="M25" s="173">
        <f>IF($B25&gt;Inputs!$G$18,"",H25+K25+L25)</f>
        <v>128515.95517659826</v>
      </c>
      <c r="N25" s="173">
        <f>IF($B25&gt;Inputs!$G$18,N24,N24+M25)</f>
        <v>1341315.6334700256</v>
      </c>
      <c r="O25" s="177">
        <f>IF($B25&gt;Inputs!$G$18,"",LOOKUP($B25,'Cash Flow'!$F$2:$AJ$2,'Cash Flow'!$F$80:$AJ$80))</f>
        <v>0.11541896133559271</v>
      </c>
      <c r="P25" s="178" t="str">
        <f>IF($B25&gt;Inputs!$G$18,"",LOOKUP($B25,'Cash Flow'!$F$2:$AJ$2,'Cash Flow'!$F$53:$AJ$53))</f>
        <v>N/A</v>
      </c>
      <c r="R25" s="392">
        <f>IF($B25&gt;Inputs!$G$18,"",D25+K25+L25)</f>
        <v>629670.42449614173</v>
      </c>
      <c r="S25" s="393">
        <f>IF($B25&gt;Inputs!$G$18,"",-(E25+F25+G25))</f>
        <v>501154.46931954345</v>
      </c>
    </row>
    <row r="26" spans="2:19" ht="15">
      <c r="B26" s="181">
        <v>20</v>
      </c>
      <c r="C26" s="176">
        <f>IF($B26&gt;Inputs!$G$18,"",IF($B26&lt;=Inputs!$Q$22,LOOKUP($B26,'Cash Flow'!$F$2:$AJ$2,'Cash Flow'!$F$17:$AJ$17),LOOKUP($B26,'Cash Flow'!$F$2:$AJ$2,'Cash Flow'!$F$19:$AJ$19)))</f>
        <v>11.349999999999998</v>
      </c>
      <c r="D26" s="173">
        <f>IF($B26&gt;Inputs!$G$18,"",LOOKUP($B26,'Cash Flow'!$F$2:$AJ$2,'Cash Flow'!$F$29:$AJ$29))</f>
        <v>713222.20040512539</v>
      </c>
      <c r="E26" s="173">
        <f>IF($B26&gt;Inputs!$G$18,"",LOOKUP($B26,'Cash Flow'!$F$2:$AJ$2,'Cash Flow'!$F$47:$AJ$47))</f>
        <v>-511177.55870593427</v>
      </c>
      <c r="F26" s="173">
        <f>IF($B26&gt;Inputs!$G$18,"",LOOKUP($B26,'Cash Flow'!$F$2:$AJ$2,'Cash Flow'!$F$97:$AJ$97))</f>
        <v>0</v>
      </c>
      <c r="G26" s="173">
        <f>IF($B26&gt;Inputs!$G$18,"",LOOKUP($B26,'Cash Flow'!$F$2:$AJ$2,'Cash Flow'!$F$59:$AJ$59)+LOOKUP($B26,'Cash Flow'!$F$2:$AJ$2,'Cash Flow'!$F$60:$AJ$60))</f>
        <v>213141.38735006598</v>
      </c>
      <c r="H26" s="173">
        <f>IF($B26&gt;Inputs!$G$18,"",SUM(D26:G26))</f>
        <v>415186.02904925711</v>
      </c>
      <c r="I26" s="173">
        <f>IF($B26&gt;Inputs!$G$18,"",LOOKUP($B26,'Cash Flow'!$F$2:$AJ$2,'Cash Flow'!$F$72:$AJ$72))</f>
        <v>198496.76669919112</v>
      </c>
      <c r="J26" s="173">
        <f>IF($B26&gt;Inputs!$G$18,"",LOOKUP($B26,'Cash Flow'!$F$2:$AJ$2,'Cash Flow'!$F$73:$AJ$73))</f>
        <v>198496.76669919112</v>
      </c>
      <c r="K26" s="173">
        <f>IF($B26&gt;Inputs!$G$18,"",LOOKUP($B26,'Cash Flow'!$F$2:$AJ$2,'Cash Flow'!$F$75:$AJ$75)+LOOKUP($B26,'Cash Flow'!$F$2:$AJ$2,'Cash Flow'!$F$77:$AJ$77))</f>
        <v>-63568.589535415951</v>
      </c>
      <c r="L26" s="173">
        <f>IF($B26&gt;Inputs!$G$18,"",LOOKUP($B26,'Cash Flow'!$F$2:$AJ$2,'Cash Flow'!$F$76:$AJ$76)+LOOKUP($B26,'Cash Flow'!$F$2:$AJ$2,'Cash Flow'!$F$78:$AJ$78))</f>
        <v>-16872.225169431247</v>
      </c>
      <c r="M26" s="173">
        <f>IF($B26&gt;Inputs!$G$18,"",H26+K26+L26)</f>
        <v>334745.21434440993</v>
      </c>
      <c r="N26" s="173">
        <f>IF($B26&gt;Inputs!$G$18,N25,N25+M26)</f>
        <v>1676060.8478144356</v>
      </c>
      <c r="O26" s="177">
        <f>IF($B26&gt;Inputs!$G$18,"",LOOKUP($B26,'Cash Flow'!$F$2:$AJ$2,'Cash Flow'!$F$80:$AJ$80))</f>
        <v>0.12108520247293408</v>
      </c>
      <c r="P26" s="178" t="str">
        <f>IF($B26&gt;Inputs!$G$18,"",LOOKUP($B26,'Cash Flow'!$F$2:$AJ$2,'Cash Flow'!$F$53:$AJ$53))</f>
        <v>N/A</v>
      </c>
      <c r="R26" s="392">
        <f>IF($B26&gt;Inputs!$G$18,"",D26+K26+L26)</f>
        <v>632781.3857002781</v>
      </c>
      <c r="S26" s="393">
        <f>IF($B26&gt;Inputs!$G$18,"",-(E26+F26+G26))</f>
        <v>298036.17135586828</v>
      </c>
    </row>
    <row r="27" spans="2:19" ht="15">
      <c r="B27" s="175">
        <v>21</v>
      </c>
      <c r="C27" s="176" t="str">
        <f>IF($B27&gt;Inputs!$G$18,"",IF($B27&lt;=Inputs!$Q$22,LOOKUP($B27,'Cash Flow'!$F$2:$AJ$2,'Cash Flow'!$F$17:$AJ$17),LOOKUP($B27,'Cash Flow'!$F$2:$AJ$2,'Cash Flow'!$F$19:$AJ$19)))</f>
        <v/>
      </c>
      <c r="D27" s="173" t="str">
        <f>IF($B27&gt;Inputs!$G$18,"",LOOKUP($B27,'Cash Flow'!$F$2:$AJ$2,'Cash Flow'!$F$29:$AJ$29))</f>
        <v/>
      </c>
      <c r="E27" s="173" t="str">
        <f>IF($B27&gt;Inputs!$G$18,"",LOOKUP($B27,'Cash Flow'!$F$2:$AJ$2,'Cash Flow'!$F$47:$AJ$47))</f>
        <v/>
      </c>
      <c r="F27" s="173" t="str">
        <f>IF($B27&gt;Inputs!$G$18,"",LOOKUP($B27,'Cash Flow'!$F$2:$AJ$2,'Cash Flow'!$F$97:$AJ$97))</f>
        <v/>
      </c>
      <c r="G27" s="173" t="str">
        <f>IF($B27&gt;Inputs!$G$18,"",LOOKUP($B27,'Cash Flow'!$F$2:$AJ$2,'Cash Flow'!$F$59:$AJ$59)+LOOKUP($B27,'Cash Flow'!$F$2:$AJ$2,'Cash Flow'!$F$60:$AJ$60))</f>
        <v/>
      </c>
      <c r="H27" s="173" t="str">
        <f>IF($B27&gt;Inputs!$G$18,"",SUM(D27:G27))</f>
        <v/>
      </c>
      <c r="I27" s="173" t="str">
        <f>IF($B27&gt;Inputs!$G$18,"",LOOKUP($B27,'Cash Flow'!$F$2:$AJ$2,'Cash Flow'!$F$72:$AJ$72))</f>
        <v/>
      </c>
      <c r="J27" s="173" t="str">
        <f>IF($B27&gt;Inputs!$G$18,"",LOOKUP($B27,'Cash Flow'!$F$2:$AJ$2,'Cash Flow'!$F$73:$AJ$73))</f>
        <v/>
      </c>
      <c r="K27" s="173" t="str">
        <f>IF($B27&gt;Inputs!$G$18,"",LOOKUP($B27,'Cash Flow'!$F$2:$AJ$2,'Cash Flow'!$F$75:$AJ$75)+LOOKUP($B27,'Cash Flow'!$F$2:$AJ$2,'Cash Flow'!$F$77:$AJ$77))</f>
        <v/>
      </c>
      <c r="L27" s="173" t="str">
        <f>IF($B27&gt;Inputs!$G$18,"",LOOKUP($B27,'Cash Flow'!$F$2:$AJ$2,'Cash Flow'!$F$76:$AJ$76)+LOOKUP($B27,'Cash Flow'!$F$2:$AJ$2,'Cash Flow'!$F$78:$AJ$78))</f>
        <v/>
      </c>
      <c r="M27" s="173" t="str">
        <f>IF($B27&gt;Inputs!$G$18,"",H27+K27+L27)</f>
        <v/>
      </c>
      <c r="N27" s="173">
        <f>IF($B27&gt;Inputs!$G$18,N26,N26+M27)</f>
        <v>1676060.8478144356</v>
      </c>
      <c r="O27" s="177" t="str">
        <f>IF($B27&gt;Inputs!$G$18,"",LOOKUP($B27,'Cash Flow'!$F$2:$AJ$2,'Cash Flow'!$F$80:$AJ$80))</f>
        <v/>
      </c>
      <c r="P27" s="178" t="str">
        <f>IF($B27&gt;Inputs!$G$18,"",LOOKUP($B27,'Cash Flow'!$F$2:$AJ$2,'Cash Flow'!$F$53:$AJ$53))</f>
        <v/>
      </c>
      <c r="R27" s="392" t="str">
        <f>IF($B27&gt;Inputs!$G$18,"",D27+K27+L27)</f>
        <v/>
      </c>
      <c r="S27" s="393" t="str">
        <f>IF($B27&gt;Inputs!$G$18,"",-(E27+F27+G27))</f>
        <v/>
      </c>
    </row>
    <row r="28" spans="2:19" ht="15">
      <c r="B28" s="175">
        <v>22</v>
      </c>
      <c r="C28" s="176" t="str">
        <f>IF($B28&gt;Inputs!$G$18,"",IF($B28&lt;=Inputs!$Q$22,LOOKUP($B28,'Cash Flow'!$F$2:$AJ$2,'Cash Flow'!$F$17:$AJ$17),LOOKUP($B28,'Cash Flow'!$F$2:$AJ$2,'Cash Flow'!$F$19:$AJ$19)))</f>
        <v/>
      </c>
      <c r="D28" s="173" t="str">
        <f>IF($B28&gt;Inputs!$G$18,"",LOOKUP($B28,'Cash Flow'!$F$2:$AJ$2,'Cash Flow'!$F$29:$AJ$29))</f>
        <v/>
      </c>
      <c r="E28" s="173" t="str">
        <f>IF($B28&gt;Inputs!$G$18,"",LOOKUP($B28,'Cash Flow'!$F$2:$AJ$2,'Cash Flow'!$F$47:$AJ$47))</f>
        <v/>
      </c>
      <c r="F28" s="173" t="str">
        <f>IF($B28&gt;Inputs!$G$18,"",LOOKUP($B28,'Cash Flow'!$F$2:$AJ$2,'Cash Flow'!$F$97:$AJ$97))</f>
        <v/>
      </c>
      <c r="G28" s="173" t="str">
        <f>IF($B28&gt;Inputs!$G$18,"",LOOKUP($B28,'Cash Flow'!$F$2:$AJ$2,'Cash Flow'!$F$59:$AJ$59)+LOOKUP($B28,'Cash Flow'!$F$2:$AJ$2,'Cash Flow'!$F$60:$AJ$60))</f>
        <v/>
      </c>
      <c r="H28" s="173" t="str">
        <f>IF($B28&gt;Inputs!$G$18,"",SUM(D28:G28))</f>
        <v/>
      </c>
      <c r="I28" s="173" t="str">
        <f>IF($B28&gt;Inputs!$G$18,"",LOOKUP($B28,'Cash Flow'!$F$2:$AJ$2,'Cash Flow'!$F$72:$AJ$72))</f>
        <v/>
      </c>
      <c r="J28" s="173" t="str">
        <f>IF($B28&gt;Inputs!$G$18,"",LOOKUP($B28,'Cash Flow'!$F$2:$AJ$2,'Cash Flow'!$F$73:$AJ$73))</f>
        <v/>
      </c>
      <c r="K28" s="173" t="str">
        <f>IF($B28&gt;Inputs!$G$18,"",LOOKUP($B28,'Cash Flow'!$F$2:$AJ$2,'Cash Flow'!$F$75:$AJ$75)+LOOKUP($B28,'Cash Flow'!$F$2:$AJ$2,'Cash Flow'!$F$77:$AJ$77))</f>
        <v/>
      </c>
      <c r="L28" s="173" t="str">
        <f>IF($B28&gt;Inputs!$G$18,"",LOOKUP($B28,'Cash Flow'!$F$2:$AJ$2,'Cash Flow'!$F$76:$AJ$76)+LOOKUP($B28,'Cash Flow'!$F$2:$AJ$2,'Cash Flow'!$F$78:$AJ$78))</f>
        <v/>
      </c>
      <c r="M28" s="173" t="str">
        <f>IF($B28&gt;Inputs!$G$18,"",H28+K28+L28)</f>
        <v/>
      </c>
      <c r="N28" s="173">
        <f>IF($B28&gt;Inputs!$G$18,N27,N27+M28)</f>
        <v>1676060.8478144356</v>
      </c>
      <c r="O28" s="177" t="str">
        <f>IF($B28&gt;Inputs!$G$18,"",LOOKUP($B28,'Cash Flow'!$F$2:$AJ$2,'Cash Flow'!$F$80:$AJ$80))</f>
        <v/>
      </c>
      <c r="P28" s="178" t="str">
        <f>IF($B28&gt;Inputs!$G$18,"",LOOKUP($B28,'Cash Flow'!$F$2:$AJ$2,'Cash Flow'!$F$53:$AJ$53))</f>
        <v/>
      </c>
      <c r="R28" s="392" t="str">
        <f>IF($B28&gt;Inputs!$G$18,"",D28+K28+L28)</f>
        <v/>
      </c>
      <c r="S28" s="393" t="str">
        <f>IF($B28&gt;Inputs!$G$18,"",-(E28+F28+G28))</f>
        <v/>
      </c>
    </row>
    <row r="29" spans="2:19" ht="15">
      <c r="B29" s="181">
        <v>23</v>
      </c>
      <c r="C29" s="176" t="str">
        <f>IF($B29&gt;Inputs!$G$18,"",IF($B29&lt;=Inputs!$Q$22,LOOKUP($B29,'Cash Flow'!$F$2:$AJ$2,'Cash Flow'!$F$17:$AJ$17),LOOKUP($B29,'Cash Flow'!$F$2:$AJ$2,'Cash Flow'!$F$19:$AJ$19)))</f>
        <v/>
      </c>
      <c r="D29" s="173" t="str">
        <f>IF($B29&gt;Inputs!$G$18,"",LOOKUP($B29,'Cash Flow'!$F$2:$AJ$2,'Cash Flow'!$F$29:$AJ$29))</f>
        <v/>
      </c>
      <c r="E29" s="173" t="str">
        <f>IF($B29&gt;Inputs!$G$18,"",LOOKUP($B29,'Cash Flow'!$F$2:$AJ$2,'Cash Flow'!$F$47:$AJ$47))</f>
        <v/>
      </c>
      <c r="F29" s="173" t="str">
        <f>IF($B29&gt;Inputs!$G$18,"",LOOKUP($B29,'Cash Flow'!$F$2:$AJ$2,'Cash Flow'!$F$97:$AJ$97))</f>
        <v/>
      </c>
      <c r="G29" s="173" t="str">
        <f>IF($B29&gt;Inputs!$G$18,"",LOOKUP($B29,'Cash Flow'!$F$2:$AJ$2,'Cash Flow'!$F$59:$AJ$59)+LOOKUP($B29,'Cash Flow'!$F$2:$AJ$2,'Cash Flow'!$F$60:$AJ$60))</f>
        <v/>
      </c>
      <c r="H29" s="173" t="str">
        <f>IF($B29&gt;Inputs!$G$18,"",SUM(D29:G29))</f>
        <v/>
      </c>
      <c r="I29" s="173" t="str">
        <f>IF($B29&gt;Inputs!$G$18,"",LOOKUP($B29,'Cash Flow'!$F$2:$AJ$2,'Cash Flow'!$F$72:$AJ$72))</f>
        <v/>
      </c>
      <c r="J29" s="173" t="str">
        <f>IF($B29&gt;Inputs!$G$18,"",LOOKUP($B29,'Cash Flow'!$F$2:$AJ$2,'Cash Flow'!$F$73:$AJ$73))</f>
        <v/>
      </c>
      <c r="K29" s="173" t="str">
        <f>IF($B29&gt;Inputs!$G$18,"",LOOKUP($B29,'Cash Flow'!$F$2:$AJ$2,'Cash Flow'!$F$75:$AJ$75)+LOOKUP($B29,'Cash Flow'!$F$2:$AJ$2,'Cash Flow'!$F$77:$AJ$77))</f>
        <v/>
      </c>
      <c r="L29" s="173" t="str">
        <f>IF($B29&gt;Inputs!$G$18,"",LOOKUP($B29,'Cash Flow'!$F$2:$AJ$2,'Cash Flow'!$F$76:$AJ$76)+LOOKUP($B29,'Cash Flow'!$F$2:$AJ$2,'Cash Flow'!$F$78:$AJ$78))</f>
        <v/>
      </c>
      <c r="M29" s="173" t="str">
        <f>IF($B29&gt;Inputs!$G$18,"",H29+K29+L29)</f>
        <v/>
      </c>
      <c r="N29" s="173">
        <f>IF($B29&gt;Inputs!$G$18,N28,N28+M29)</f>
        <v>1676060.8478144356</v>
      </c>
      <c r="O29" s="177" t="str">
        <f>IF($B29&gt;Inputs!$G$18,"",LOOKUP($B29,'Cash Flow'!$F$2:$AJ$2,'Cash Flow'!$F$80:$AJ$80))</f>
        <v/>
      </c>
      <c r="P29" s="178" t="str">
        <f>IF($B29&gt;Inputs!$G$18,"",LOOKUP($B29,'Cash Flow'!$F$2:$AJ$2,'Cash Flow'!$F$53:$AJ$53))</f>
        <v/>
      </c>
      <c r="R29" s="392" t="str">
        <f>IF($B29&gt;Inputs!$G$18,"",D29+K29+L29)</f>
        <v/>
      </c>
      <c r="S29" s="393" t="str">
        <f>IF($B29&gt;Inputs!$G$18,"",-(E29+F29+G29))</f>
        <v/>
      </c>
    </row>
    <row r="30" spans="2:19" ht="15">
      <c r="B30" s="175">
        <v>24</v>
      </c>
      <c r="C30" s="176" t="str">
        <f>IF($B30&gt;Inputs!$G$18,"",IF($B30&lt;=Inputs!$Q$22,LOOKUP($B30,'Cash Flow'!$F$2:$AJ$2,'Cash Flow'!$F$17:$AJ$17),LOOKUP($B30,'Cash Flow'!$F$2:$AJ$2,'Cash Flow'!$F$19:$AJ$19)))</f>
        <v/>
      </c>
      <c r="D30" s="173" t="str">
        <f>IF($B30&gt;Inputs!$G$18,"",LOOKUP($B30,'Cash Flow'!$F$2:$AJ$2,'Cash Flow'!$F$29:$AJ$29))</f>
        <v/>
      </c>
      <c r="E30" s="173" t="str">
        <f>IF($B30&gt;Inputs!$G$18,"",LOOKUP($B30,'Cash Flow'!$F$2:$AJ$2,'Cash Flow'!$F$47:$AJ$47))</f>
        <v/>
      </c>
      <c r="F30" s="173" t="str">
        <f>IF($B30&gt;Inputs!$G$18,"",LOOKUP($B30,'Cash Flow'!$F$2:$AJ$2,'Cash Flow'!$F$97:$AJ$97))</f>
        <v/>
      </c>
      <c r="G30" s="173" t="str">
        <f>IF($B30&gt;Inputs!$G$18,"",LOOKUP($B30,'Cash Flow'!$F$2:$AJ$2,'Cash Flow'!$F$59:$AJ$59)+LOOKUP($B30,'Cash Flow'!$F$2:$AJ$2,'Cash Flow'!$F$60:$AJ$60))</f>
        <v/>
      </c>
      <c r="H30" s="173" t="str">
        <f>IF($B30&gt;Inputs!$G$18,"",SUM(D30:G30))</f>
        <v/>
      </c>
      <c r="I30" s="173" t="str">
        <f>IF($B30&gt;Inputs!$G$18,"",LOOKUP($B30,'Cash Flow'!$F$2:$AJ$2,'Cash Flow'!$F$72:$AJ$72))</f>
        <v/>
      </c>
      <c r="J30" s="173" t="str">
        <f>IF($B30&gt;Inputs!$G$18,"",LOOKUP($B30,'Cash Flow'!$F$2:$AJ$2,'Cash Flow'!$F$73:$AJ$73))</f>
        <v/>
      </c>
      <c r="K30" s="173" t="str">
        <f>IF($B30&gt;Inputs!$G$18,"",LOOKUP($B30,'Cash Flow'!$F$2:$AJ$2,'Cash Flow'!$F$75:$AJ$75)+LOOKUP($B30,'Cash Flow'!$F$2:$AJ$2,'Cash Flow'!$F$77:$AJ$77))</f>
        <v/>
      </c>
      <c r="L30" s="173" t="str">
        <f>IF($B30&gt;Inputs!$G$18,"",LOOKUP($B30,'Cash Flow'!$F$2:$AJ$2,'Cash Flow'!$F$76:$AJ$76)+LOOKUP($B30,'Cash Flow'!$F$2:$AJ$2,'Cash Flow'!$F$78:$AJ$78))</f>
        <v/>
      </c>
      <c r="M30" s="173" t="str">
        <f>IF($B30&gt;Inputs!$G$18,"",H30+K30+L30)</f>
        <v/>
      </c>
      <c r="N30" s="173">
        <f>IF($B30&gt;Inputs!$G$18,N29,N29+M30)</f>
        <v>1676060.8478144356</v>
      </c>
      <c r="O30" s="177" t="str">
        <f>IF($B30&gt;Inputs!$G$18,"",LOOKUP($B30,'Cash Flow'!$F$2:$AJ$2,'Cash Flow'!$F$80:$AJ$80))</f>
        <v/>
      </c>
      <c r="P30" s="178" t="str">
        <f>IF($B30&gt;Inputs!$G$18,"",LOOKUP($B30,'Cash Flow'!$F$2:$AJ$2,'Cash Flow'!$F$53:$AJ$53))</f>
        <v/>
      </c>
      <c r="R30" s="392" t="str">
        <f>IF($B30&gt;Inputs!$G$18,"",D30+K30+L30)</f>
        <v/>
      </c>
      <c r="S30" s="393" t="str">
        <f>IF($B30&gt;Inputs!$G$18,"",-(E30+F30+G30))</f>
        <v/>
      </c>
    </row>
    <row r="31" spans="2:19" ht="15">
      <c r="B31" s="175">
        <v>25</v>
      </c>
      <c r="C31" s="176" t="str">
        <f>IF($B31&gt;Inputs!$G$18,"",IF($B31&lt;=Inputs!$Q$22,LOOKUP($B31,'Cash Flow'!$F$2:$AJ$2,'Cash Flow'!$F$17:$AJ$17),LOOKUP($B31,'Cash Flow'!$F$2:$AJ$2,'Cash Flow'!$F$19:$AJ$19)))</f>
        <v/>
      </c>
      <c r="D31" s="173" t="str">
        <f>IF($B31&gt;Inputs!$G$18,"",LOOKUP($B31,'Cash Flow'!$F$2:$AJ$2,'Cash Flow'!$F$29:$AJ$29))</f>
        <v/>
      </c>
      <c r="E31" s="173" t="str">
        <f>IF($B31&gt;Inputs!$G$18,"",LOOKUP($B31,'Cash Flow'!$F$2:$AJ$2,'Cash Flow'!$F$47:$AJ$47))</f>
        <v/>
      </c>
      <c r="F31" s="173" t="str">
        <f>IF($B31&gt;Inputs!$G$18,"",LOOKUP($B31,'Cash Flow'!$F$2:$AJ$2,'Cash Flow'!$F$97:$AJ$97))</f>
        <v/>
      </c>
      <c r="G31" s="173" t="str">
        <f>IF($B31&gt;Inputs!$G$18,"",LOOKUP($B31,'Cash Flow'!$F$2:$AJ$2,'Cash Flow'!$F$59:$AJ$59)+LOOKUP($B31,'Cash Flow'!$F$2:$AJ$2,'Cash Flow'!$F$60:$AJ$60))</f>
        <v/>
      </c>
      <c r="H31" s="173" t="str">
        <f>IF($B31&gt;Inputs!$G$18,"",SUM(D31:G31))</f>
        <v/>
      </c>
      <c r="I31" s="173" t="str">
        <f>IF($B31&gt;Inputs!$G$18,"",LOOKUP($B31,'Cash Flow'!$F$2:$AJ$2,'Cash Flow'!$F$72:$AJ$72))</f>
        <v/>
      </c>
      <c r="J31" s="173" t="str">
        <f>IF($B31&gt;Inputs!$G$18,"",LOOKUP($B31,'Cash Flow'!$F$2:$AJ$2,'Cash Flow'!$F$73:$AJ$73))</f>
        <v/>
      </c>
      <c r="K31" s="173" t="str">
        <f>IF($B31&gt;Inputs!$G$18,"",LOOKUP($B31,'Cash Flow'!$F$2:$AJ$2,'Cash Flow'!$F$75:$AJ$75)+LOOKUP($B31,'Cash Flow'!$F$2:$AJ$2,'Cash Flow'!$F$77:$AJ$77))</f>
        <v/>
      </c>
      <c r="L31" s="173" t="str">
        <f>IF($B31&gt;Inputs!$G$18,"",LOOKUP($B31,'Cash Flow'!$F$2:$AJ$2,'Cash Flow'!$F$76:$AJ$76)+LOOKUP($B31,'Cash Flow'!$F$2:$AJ$2,'Cash Flow'!$F$78:$AJ$78))</f>
        <v/>
      </c>
      <c r="M31" s="173" t="str">
        <f>IF($B31&gt;Inputs!$G$18,"",H31+K31+L31)</f>
        <v/>
      </c>
      <c r="N31" s="173">
        <f>IF($B31&gt;Inputs!$G$18,N30,N30+M31)</f>
        <v>1676060.8478144356</v>
      </c>
      <c r="O31" s="177" t="str">
        <f>IF($B31&gt;Inputs!$G$18,"",LOOKUP($B31,'Cash Flow'!$F$2:$AJ$2,'Cash Flow'!$F$80:$AJ$80))</f>
        <v/>
      </c>
      <c r="P31" s="178" t="str">
        <f>IF($B31&gt;Inputs!$G$18,"",LOOKUP($B31,'Cash Flow'!$F$2:$AJ$2,'Cash Flow'!$F$53:$AJ$53))</f>
        <v/>
      </c>
      <c r="R31" s="392" t="str">
        <f>IF($B31&gt;Inputs!$G$18,"",D31+K31+L31)</f>
        <v/>
      </c>
      <c r="S31" s="393" t="str">
        <f>IF($B31&gt;Inputs!$G$18,"",-(E31+F31+G31))</f>
        <v/>
      </c>
    </row>
    <row r="32" spans="2:19" ht="15">
      <c r="B32" s="181">
        <v>26</v>
      </c>
      <c r="C32" s="176" t="str">
        <f>IF($B32&gt;Inputs!$G$18,"",IF($B32&lt;=Inputs!$Q$22,LOOKUP($B32,'Cash Flow'!$F$2:$AJ$2,'Cash Flow'!$F$17:$AJ$17),LOOKUP($B32,'Cash Flow'!$F$2:$AJ$2,'Cash Flow'!$F$19:$AJ$19)))</f>
        <v/>
      </c>
      <c r="D32" s="173" t="str">
        <f>IF($B32&gt;Inputs!$G$18,"",LOOKUP($B32,'Cash Flow'!$F$2:$AJ$2,'Cash Flow'!$F$29:$AJ$29))</f>
        <v/>
      </c>
      <c r="E32" s="173" t="str">
        <f>IF($B32&gt;Inputs!$G$18,"",LOOKUP($B32,'Cash Flow'!$F$2:$AJ$2,'Cash Flow'!$F$47:$AJ$47))</f>
        <v/>
      </c>
      <c r="F32" s="173" t="str">
        <f>IF($B32&gt;Inputs!$G$18,"",LOOKUP($B32,'Cash Flow'!$F$2:$AJ$2,'Cash Flow'!$F$97:$AJ$97))</f>
        <v/>
      </c>
      <c r="G32" s="173" t="str">
        <f>IF($B32&gt;Inputs!$G$18,"",LOOKUP($B32,'Cash Flow'!$F$2:$AJ$2,'Cash Flow'!$F$59:$AJ$59)+LOOKUP($B32,'Cash Flow'!$F$2:$AJ$2,'Cash Flow'!$F$60:$AJ$60))</f>
        <v/>
      </c>
      <c r="H32" s="173" t="str">
        <f>IF($B32&gt;Inputs!$G$18,"",SUM(D32:G32))</f>
        <v/>
      </c>
      <c r="I32" s="173" t="str">
        <f>IF($B32&gt;Inputs!$G$18,"",LOOKUP($B32,'Cash Flow'!$F$2:$AJ$2,'Cash Flow'!$F$72:$AJ$72))</f>
        <v/>
      </c>
      <c r="J32" s="173" t="str">
        <f>IF($B32&gt;Inputs!$G$18,"",LOOKUP($B32,'Cash Flow'!$F$2:$AJ$2,'Cash Flow'!$F$73:$AJ$73))</f>
        <v/>
      </c>
      <c r="K32" s="173" t="str">
        <f>IF($B32&gt;Inputs!$G$18,"",LOOKUP($B32,'Cash Flow'!$F$2:$AJ$2,'Cash Flow'!$F$75:$AJ$75)+LOOKUP($B32,'Cash Flow'!$F$2:$AJ$2,'Cash Flow'!$F$77:$AJ$77))</f>
        <v/>
      </c>
      <c r="L32" s="173" t="str">
        <f>IF($B32&gt;Inputs!$G$18,"",LOOKUP($B32,'Cash Flow'!$F$2:$AJ$2,'Cash Flow'!$F$76:$AJ$76)+LOOKUP($B32,'Cash Flow'!$F$2:$AJ$2,'Cash Flow'!$F$78:$AJ$78))</f>
        <v/>
      </c>
      <c r="M32" s="173" t="str">
        <f>IF($B32&gt;Inputs!$G$18,"",H32+K32+L32)</f>
        <v/>
      </c>
      <c r="N32" s="173">
        <f>IF($B32&gt;Inputs!$G$18,N31,N31+M32)</f>
        <v>1676060.8478144356</v>
      </c>
      <c r="O32" s="177" t="str">
        <f>IF($B32&gt;Inputs!$G$18,"",LOOKUP($B32,'Cash Flow'!$F$2:$AJ$2,'Cash Flow'!$F$80:$AJ$80))</f>
        <v/>
      </c>
      <c r="P32" s="178" t="str">
        <f>IF($B32&gt;Inputs!$G$18,"",LOOKUP($B32,'Cash Flow'!$F$2:$AJ$2,'Cash Flow'!$F$53:$AJ$53))</f>
        <v/>
      </c>
      <c r="R32" s="392" t="str">
        <f>IF($B32&gt;Inputs!$G$18,"",D32+K32+L32)</f>
        <v/>
      </c>
      <c r="S32" s="393" t="str">
        <f>IF($B32&gt;Inputs!$G$18,"",-(E32+F32+G32))</f>
        <v/>
      </c>
    </row>
    <row r="33" spans="2:19" ht="15">
      <c r="B33" s="175">
        <v>27</v>
      </c>
      <c r="C33" s="176" t="str">
        <f>IF($B33&gt;Inputs!$G$18,"",IF($B33&lt;=Inputs!$Q$22,LOOKUP($B33,'Cash Flow'!$F$2:$AJ$2,'Cash Flow'!$F$17:$AJ$17),LOOKUP($B33,'Cash Flow'!$F$2:$AJ$2,'Cash Flow'!$F$19:$AJ$19)))</f>
        <v/>
      </c>
      <c r="D33" s="173" t="str">
        <f>IF($B33&gt;Inputs!$G$18,"",LOOKUP($B33,'Cash Flow'!$F$2:$AJ$2,'Cash Flow'!$F$29:$AJ$29))</f>
        <v/>
      </c>
      <c r="E33" s="173" t="str">
        <f>IF($B33&gt;Inputs!$G$18,"",LOOKUP($B33,'Cash Flow'!$F$2:$AJ$2,'Cash Flow'!$F$47:$AJ$47))</f>
        <v/>
      </c>
      <c r="F33" s="173" t="str">
        <f>IF($B33&gt;Inputs!$G$18,"",LOOKUP($B33,'Cash Flow'!$F$2:$AJ$2,'Cash Flow'!$F$97:$AJ$97))</f>
        <v/>
      </c>
      <c r="G33" s="173" t="str">
        <f>IF($B33&gt;Inputs!$G$18,"",LOOKUP($B33,'Cash Flow'!$F$2:$AJ$2,'Cash Flow'!$F$59:$AJ$59)+LOOKUP($B33,'Cash Flow'!$F$2:$AJ$2,'Cash Flow'!$F$60:$AJ$60))</f>
        <v/>
      </c>
      <c r="H33" s="173" t="str">
        <f>IF($B33&gt;Inputs!$G$18,"",SUM(D33:G33))</f>
        <v/>
      </c>
      <c r="I33" s="173" t="str">
        <f>IF($B33&gt;Inputs!$G$18,"",LOOKUP($B33,'Cash Flow'!$F$2:$AJ$2,'Cash Flow'!$F$72:$AJ$72))</f>
        <v/>
      </c>
      <c r="J33" s="173" t="str">
        <f>IF($B33&gt;Inputs!$G$18,"",LOOKUP($B33,'Cash Flow'!$F$2:$AJ$2,'Cash Flow'!$F$73:$AJ$73))</f>
        <v/>
      </c>
      <c r="K33" s="173" t="str">
        <f>IF($B33&gt;Inputs!$G$18,"",LOOKUP($B33,'Cash Flow'!$F$2:$AJ$2,'Cash Flow'!$F$75:$AJ$75)+LOOKUP($B33,'Cash Flow'!$F$2:$AJ$2,'Cash Flow'!$F$77:$AJ$77))</f>
        <v/>
      </c>
      <c r="L33" s="173" t="str">
        <f>IF($B33&gt;Inputs!$G$18,"",LOOKUP($B33,'Cash Flow'!$F$2:$AJ$2,'Cash Flow'!$F$76:$AJ$76)+LOOKUP($B33,'Cash Flow'!$F$2:$AJ$2,'Cash Flow'!$F$78:$AJ$78))</f>
        <v/>
      </c>
      <c r="M33" s="173" t="str">
        <f>IF($B33&gt;Inputs!$G$18,"",H33+K33+L33)</f>
        <v/>
      </c>
      <c r="N33" s="173">
        <f>IF($B33&gt;Inputs!$G$18,N32,N32+M33)</f>
        <v>1676060.8478144356</v>
      </c>
      <c r="O33" s="177" t="str">
        <f>IF($B33&gt;Inputs!$G$18,"",LOOKUP($B33,'Cash Flow'!$F$2:$AJ$2,'Cash Flow'!$F$80:$AJ$80))</f>
        <v/>
      </c>
      <c r="P33" s="178" t="str">
        <f>IF($B33&gt;Inputs!$G$18,"",LOOKUP($B33,'Cash Flow'!$F$2:$AJ$2,'Cash Flow'!$F$53:$AJ$53))</f>
        <v/>
      </c>
      <c r="R33" s="392" t="str">
        <f>IF($B33&gt;Inputs!$G$18,"",D33+K33+L33)</f>
        <v/>
      </c>
      <c r="S33" s="393" t="str">
        <f>IF($B33&gt;Inputs!$G$18,"",-(E33+F33+G33))</f>
        <v/>
      </c>
    </row>
    <row r="34" spans="2:19" ht="15">
      <c r="B34" s="175">
        <v>28</v>
      </c>
      <c r="C34" s="176" t="str">
        <f>IF($B34&gt;Inputs!$G$18,"",IF($B34&lt;=Inputs!$Q$22,LOOKUP($B34,'Cash Flow'!$F$2:$AJ$2,'Cash Flow'!$F$17:$AJ$17),LOOKUP($B34,'Cash Flow'!$F$2:$AJ$2,'Cash Flow'!$F$19:$AJ$19)))</f>
        <v/>
      </c>
      <c r="D34" s="173" t="str">
        <f>IF($B34&gt;Inputs!$G$18,"",LOOKUP($B34,'Cash Flow'!$F$2:$AJ$2,'Cash Flow'!$F$29:$AJ$29))</f>
        <v/>
      </c>
      <c r="E34" s="173" t="str">
        <f>IF($B34&gt;Inputs!$G$18,"",LOOKUP($B34,'Cash Flow'!$F$2:$AJ$2,'Cash Flow'!$F$47:$AJ$47))</f>
        <v/>
      </c>
      <c r="F34" s="173" t="str">
        <f>IF($B34&gt;Inputs!$G$18,"",LOOKUP($B34,'Cash Flow'!$F$2:$AJ$2,'Cash Flow'!$F$97:$AJ$97))</f>
        <v/>
      </c>
      <c r="G34" s="173" t="str">
        <f>IF($B34&gt;Inputs!$G$18,"",LOOKUP($B34,'Cash Flow'!$F$2:$AJ$2,'Cash Flow'!$F$59:$AJ$59)+LOOKUP($B34,'Cash Flow'!$F$2:$AJ$2,'Cash Flow'!$F$60:$AJ$60))</f>
        <v/>
      </c>
      <c r="H34" s="173" t="str">
        <f>IF($B34&gt;Inputs!$G$18,"",SUM(D34:G34))</f>
        <v/>
      </c>
      <c r="I34" s="173" t="str">
        <f>IF($B34&gt;Inputs!$G$18,"",LOOKUP($B34,'Cash Flow'!$F$2:$AJ$2,'Cash Flow'!$F$72:$AJ$72))</f>
        <v/>
      </c>
      <c r="J34" s="173" t="str">
        <f>IF($B34&gt;Inputs!$G$18,"",LOOKUP($B34,'Cash Flow'!$F$2:$AJ$2,'Cash Flow'!$F$73:$AJ$73))</f>
        <v/>
      </c>
      <c r="K34" s="173" t="str">
        <f>IF($B34&gt;Inputs!$G$18,"",LOOKUP($B34,'Cash Flow'!$F$2:$AJ$2,'Cash Flow'!$F$75:$AJ$75)+LOOKUP($B34,'Cash Flow'!$F$2:$AJ$2,'Cash Flow'!$F$77:$AJ$77))</f>
        <v/>
      </c>
      <c r="L34" s="173" t="str">
        <f>IF($B34&gt;Inputs!$G$18,"",LOOKUP($B34,'Cash Flow'!$F$2:$AJ$2,'Cash Flow'!$F$76:$AJ$76)+LOOKUP($B34,'Cash Flow'!$F$2:$AJ$2,'Cash Flow'!$F$78:$AJ$78))</f>
        <v/>
      </c>
      <c r="M34" s="173" t="str">
        <f>IF($B34&gt;Inputs!$G$18,"",H34+K34+L34)</f>
        <v/>
      </c>
      <c r="N34" s="173">
        <f>IF($B34&gt;Inputs!$G$18,N33,N33+M34)</f>
        <v>1676060.8478144356</v>
      </c>
      <c r="O34" s="177" t="str">
        <f>IF($B34&gt;Inputs!$G$18,"",LOOKUP($B34,'Cash Flow'!$F$2:$AJ$2,'Cash Flow'!$F$80:$AJ$80))</f>
        <v/>
      </c>
      <c r="P34" s="178" t="str">
        <f>IF($B34&gt;Inputs!$G$18,"",LOOKUP($B34,'Cash Flow'!$F$2:$AJ$2,'Cash Flow'!$F$53:$AJ$53))</f>
        <v/>
      </c>
      <c r="R34" s="392" t="str">
        <f>IF($B34&gt;Inputs!$G$18,"",D34+K34+L34)</f>
        <v/>
      </c>
      <c r="S34" s="393" t="str">
        <f>IF($B34&gt;Inputs!$G$18,"",-(E34+F34+G34))</f>
        <v/>
      </c>
    </row>
    <row r="35" spans="2:19" ht="15">
      <c r="B35" s="181">
        <v>29</v>
      </c>
      <c r="C35" s="176" t="str">
        <f>IF($B35&gt;Inputs!$G$18,"",IF($B35&lt;=Inputs!$Q$22,LOOKUP($B35,'Cash Flow'!$F$2:$AJ$2,'Cash Flow'!$F$17:$AJ$17),LOOKUP($B35,'Cash Flow'!$F$2:$AJ$2,'Cash Flow'!$F$19:$AJ$19)))</f>
        <v/>
      </c>
      <c r="D35" s="173" t="str">
        <f>IF($B35&gt;Inputs!$G$18,"",LOOKUP($B35,'Cash Flow'!$F$2:$AJ$2,'Cash Flow'!$F$29:$AJ$29))</f>
        <v/>
      </c>
      <c r="E35" s="173" t="str">
        <f>IF($B35&gt;Inputs!$G$18,"",LOOKUP($B35,'Cash Flow'!$F$2:$AJ$2,'Cash Flow'!$F$47:$AJ$47))</f>
        <v/>
      </c>
      <c r="F35" s="173" t="str">
        <f>IF($B35&gt;Inputs!$G$18,"",LOOKUP($B35,'Cash Flow'!$F$2:$AJ$2,'Cash Flow'!$F$97:$AJ$97))</f>
        <v/>
      </c>
      <c r="G35" s="173" t="str">
        <f>IF($B35&gt;Inputs!$G$18,"",LOOKUP($B35,'Cash Flow'!$F$2:$AJ$2,'Cash Flow'!$F$59:$AJ$59)+LOOKUP($B35,'Cash Flow'!$F$2:$AJ$2,'Cash Flow'!$F$60:$AJ$60))</f>
        <v/>
      </c>
      <c r="H35" s="173" t="str">
        <f>IF($B35&gt;Inputs!$G$18,"",SUM(D35:G35))</f>
        <v/>
      </c>
      <c r="I35" s="173" t="str">
        <f>IF($B35&gt;Inputs!$G$18,"",LOOKUP($B35,'Cash Flow'!$F$2:$AJ$2,'Cash Flow'!$F$72:$AJ$72))</f>
        <v/>
      </c>
      <c r="J35" s="173" t="str">
        <f>IF($B35&gt;Inputs!$G$18,"",LOOKUP($B35,'Cash Flow'!$F$2:$AJ$2,'Cash Flow'!$F$73:$AJ$73))</f>
        <v/>
      </c>
      <c r="K35" s="173" t="str">
        <f>IF($B35&gt;Inputs!$G$18,"",LOOKUP($B35,'Cash Flow'!$F$2:$AJ$2,'Cash Flow'!$F$75:$AJ$75)+LOOKUP($B35,'Cash Flow'!$F$2:$AJ$2,'Cash Flow'!$F$77:$AJ$77))</f>
        <v/>
      </c>
      <c r="L35" s="173" t="str">
        <f>IF($B35&gt;Inputs!$G$18,"",LOOKUP($B35,'Cash Flow'!$F$2:$AJ$2,'Cash Flow'!$F$76:$AJ$76)+LOOKUP($B35,'Cash Flow'!$F$2:$AJ$2,'Cash Flow'!$F$78:$AJ$78))</f>
        <v/>
      </c>
      <c r="M35" s="173" t="str">
        <f>IF($B35&gt;Inputs!$G$18,"",H35+K35+L35)</f>
        <v/>
      </c>
      <c r="N35" s="173">
        <f>IF($B35&gt;Inputs!$G$18,N34,N34+M35)</f>
        <v>1676060.8478144356</v>
      </c>
      <c r="O35" s="177" t="str">
        <f>IF($B35&gt;Inputs!$G$18,"",LOOKUP($B35,'Cash Flow'!$F$2:$AJ$2,'Cash Flow'!$F$80:$AJ$80))</f>
        <v/>
      </c>
      <c r="P35" s="178" t="str">
        <f>IF($B35&gt;Inputs!$G$18,"",LOOKUP($B35,'Cash Flow'!$F$2:$AJ$2,'Cash Flow'!$F$53:$AJ$53))</f>
        <v/>
      </c>
      <c r="R35" s="392" t="str">
        <f>IF($B35&gt;Inputs!$G$18,"",D35+K35+L35)</f>
        <v/>
      </c>
      <c r="S35" s="393" t="str">
        <f>IF($B35&gt;Inputs!$G$18,"",-(E35+F35+G35))</f>
        <v/>
      </c>
    </row>
    <row r="36" spans="2:19" ht="15">
      <c r="B36" s="175">
        <v>30</v>
      </c>
      <c r="C36" s="176" t="str">
        <f>IF($B36&gt;Inputs!$G$18,"",IF($B36&lt;=Inputs!$Q$22,LOOKUP($B36,'Cash Flow'!$F$2:$AJ$2,'Cash Flow'!$F$17:$AJ$17),LOOKUP($B36,'Cash Flow'!$F$2:$AJ$2,'Cash Flow'!$F$19:$AJ$19)))</f>
        <v/>
      </c>
      <c r="D36" s="173" t="str">
        <f>IF($B36&gt;Inputs!$G$18,"",LOOKUP($B36,'Cash Flow'!$F$2:$AJ$2,'Cash Flow'!$F$29:$AJ$29))</f>
        <v/>
      </c>
      <c r="E36" s="173" t="str">
        <f>IF($B36&gt;Inputs!$G$18,"",LOOKUP($B36,'Cash Flow'!$F$2:$AJ$2,'Cash Flow'!$F$47:$AJ$47))</f>
        <v/>
      </c>
      <c r="F36" s="173" t="str">
        <f>IF($B36&gt;Inputs!$G$18,"",LOOKUP($B36,'Cash Flow'!$F$2:$AJ$2,'Cash Flow'!$F$97:$AJ$97))</f>
        <v/>
      </c>
      <c r="G36" s="173" t="str">
        <f>IF($B36&gt;Inputs!$G$18,"",LOOKUP($B36,'Cash Flow'!$F$2:$AJ$2,'Cash Flow'!$F$59:$AJ$59)+LOOKUP($B36,'Cash Flow'!$F$2:$AJ$2,'Cash Flow'!$F$60:$AJ$60))</f>
        <v/>
      </c>
      <c r="H36" s="173" t="str">
        <f>IF($B36&gt;Inputs!$G$18,"",SUM(D36:G36))</f>
        <v/>
      </c>
      <c r="I36" s="173" t="str">
        <f>IF($B36&gt;Inputs!$G$18,"",LOOKUP($B36,'Cash Flow'!$F$2:$AJ$2,'Cash Flow'!$F$72:$AJ$72))</f>
        <v/>
      </c>
      <c r="J36" s="173" t="str">
        <f>IF($B36&gt;Inputs!$G$18,"",LOOKUP($B36,'Cash Flow'!$F$2:$AJ$2,'Cash Flow'!$F$73:$AJ$73))</f>
        <v/>
      </c>
      <c r="K36" s="173" t="str">
        <f>IF($B36&gt;Inputs!$G$18,"",LOOKUP($B36,'Cash Flow'!$F$2:$AJ$2,'Cash Flow'!$F$75:$AJ$75)+LOOKUP($B36,'Cash Flow'!$F$2:$AJ$2,'Cash Flow'!$F$77:$AJ$77))</f>
        <v/>
      </c>
      <c r="L36" s="173" t="str">
        <f>IF($B36&gt;Inputs!$G$18,"",LOOKUP($B36,'Cash Flow'!$F$2:$AJ$2,'Cash Flow'!$F$76:$AJ$76)+LOOKUP($B36,'Cash Flow'!$F$2:$AJ$2,'Cash Flow'!$F$78:$AJ$78))</f>
        <v/>
      </c>
      <c r="M36" s="173" t="str">
        <f>IF($B36&gt;Inputs!$G$18,"",H36+K36+L36)</f>
        <v/>
      </c>
      <c r="N36" s="173">
        <f>IF($B36&gt;Inputs!$G$18,N35,N35+M36)</f>
        <v>1676060.8478144356</v>
      </c>
      <c r="O36" s="177" t="str">
        <f>IF($B36&gt;Inputs!$G$18,"",LOOKUP($B36,'Cash Flow'!$F$2:$AJ$2,'Cash Flow'!$F$80:$AJ$80))</f>
        <v/>
      </c>
      <c r="P36" s="178" t="str">
        <f>IF($B36&gt;Inputs!$G$18,"",LOOKUP($B36,'Cash Flow'!$F$2:$AJ$2,'Cash Flow'!$F$53:$AJ$53))</f>
        <v/>
      </c>
      <c r="R36" s="392" t="str">
        <f>IF($B36&gt;Inputs!$G$18,"",D36+K36+L36)</f>
        <v/>
      </c>
      <c r="S36" s="393" t="str">
        <f>IF($B36&gt;Inputs!$G$18,"",-(E36+F36+G36))</f>
        <v/>
      </c>
    </row>
    <row r="37" spans="2:19">
      <c r="B37" s="182"/>
      <c r="C37" s="183"/>
      <c r="D37" s="183"/>
      <c r="E37" s="183"/>
      <c r="F37" s="183"/>
      <c r="G37" s="194"/>
      <c r="H37" s="183"/>
      <c r="I37" s="183"/>
      <c r="J37" s="183"/>
      <c r="K37" s="183"/>
      <c r="L37" s="183"/>
      <c r="M37" s="194"/>
      <c r="N37" s="194"/>
      <c r="O37" s="194"/>
      <c r="P37" s="195"/>
      <c r="R37" s="394"/>
      <c r="S37" s="395"/>
    </row>
    <row r="38" spans="2:19">
      <c r="G38" s="196"/>
      <c r="M38" s="196"/>
      <c r="N38" s="196"/>
      <c r="O38" s="196"/>
      <c r="P38" s="196"/>
    </row>
  </sheetData>
  <mergeCells count="3">
    <mergeCell ref="R4:R5"/>
    <mergeCell ref="S4:S5"/>
    <mergeCell ref="R3:S3"/>
  </mergeCells>
  <conditionalFormatting sqref="N7:N36">
    <cfRule type="expression" dxfId="5" priority="1">
      <formula>$N7=$N6</formula>
    </cfRule>
  </conditionalFormatting>
  <pageMargins left="0.7" right="0.7" top="0.75" bottom="0.75" header="0.3" footer="0.3"/>
  <pageSetup orientation="portrait" horizontalDpi="4294967293" verticalDpi="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J249"/>
  <sheetViews>
    <sheetView showGridLines="0" zoomScale="70" zoomScaleNormal="70" workbookViewId="0">
      <pane xSplit="5" ySplit="2" topLeftCell="F3" activePane="bottomRight" state="frozen"/>
      <selection pane="topRight" activeCell="D1" sqref="D1"/>
      <selection pane="bottomLeft" activeCell="A4" sqref="A4"/>
      <selection pane="bottomRight" activeCell="B29" sqref="B29"/>
    </sheetView>
  </sheetViews>
  <sheetFormatPr baseColWidth="10" defaultColWidth="8.83203125" defaultRowHeight="15"/>
  <cols>
    <col min="1" max="1" width="5.5" style="64" customWidth="1"/>
    <col min="2" max="2" width="56.5" style="64" customWidth="1"/>
    <col min="3" max="5" width="15.33203125" style="64" customWidth="1"/>
    <col min="6" max="6" width="15.83203125" style="64" customWidth="1"/>
    <col min="7" max="7" width="15.6640625" style="64" bestFit="1" customWidth="1"/>
    <col min="8" max="13" width="14.83203125" style="64" bestFit="1" customWidth="1"/>
    <col min="14" max="36" width="13.6640625" style="64" customWidth="1"/>
    <col min="37" max="228" width="9.1640625" style="64"/>
    <col min="229" max="229" width="5.5" style="64" customWidth="1"/>
    <col min="230" max="230" width="56.5" style="64" customWidth="1"/>
    <col min="231" max="231" width="15.33203125" style="64" customWidth="1"/>
    <col min="232" max="232" width="15.83203125" style="64" customWidth="1"/>
    <col min="233" max="233" width="15.1640625" style="64" customWidth="1"/>
    <col min="234" max="292" width="13.6640625" style="64" customWidth="1"/>
    <col min="293" max="484" width="9.1640625" style="64"/>
    <col min="485" max="485" width="5.5" style="64" customWidth="1"/>
    <col min="486" max="486" width="56.5" style="64" customWidth="1"/>
    <col min="487" max="487" width="15.33203125" style="64" customWidth="1"/>
    <col min="488" max="488" width="15.83203125" style="64" customWidth="1"/>
    <col min="489" max="489" width="15.1640625" style="64" customWidth="1"/>
    <col min="490" max="548" width="13.6640625" style="64" customWidth="1"/>
    <col min="549" max="740" width="9.1640625" style="64"/>
    <col min="741" max="741" width="5.5" style="64" customWidth="1"/>
    <col min="742" max="742" width="56.5" style="64" customWidth="1"/>
    <col min="743" max="743" width="15.33203125" style="64" customWidth="1"/>
    <col min="744" max="744" width="15.83203125" style="64" customWidth="1"/>
    <col min="745" max="745" width="15.1640625" style="64" customWidth="1"/>
    <col min="746" max="804" width="13.6640625" style="64" customWidth="1"/>
    <col min="805" max="996" width="9.1640625" style="64"/>
    <col min="997" max="997" width="5.5" style="64" customWidth="1"/>
    <col min="998" max="998" width="56.5" style="64" customWidth="1"/>
    <col min="999" max="999" width="15.33203125" style="64" customWidth="1"/>
    <col min="1000" max="1000" width="15.83203125" style="64" customWidth="1"/>
    <col min="1001" max="1001" width="15.1640625" style="64" customWidth="1"/>
    <col min="1002" max="1060" width="13.6640625" style="64" customWidth="1"/>
    <col min="1061" max="1252" width="9.1640625" style="64"/>
    <col min="1253" max="1253" width="5.5" style="64" customWidth="1"/>
    <col min="1254" max="1254" width="56.5" style="64" customWidth="1"/>
    <col min="1255" max="1255" width="15.33203125" style="64" customWidth="1"/>
    <col min="1256" max="1256" width="15.83203125" style="64" customWidth="1"/>
    <col min="1257" max="1257" width="15.1640625" style="64" customWidth="1"/>
    <col min="1258" max="1316" width="13.6640625" style="64" customWidth="1"/>
    <col min="1317" max="1508" width="9.1640625" style="64"/>
    <col min="1509" max="1509" width="5.5" style="64" customWidth="1"/>
    <col min="1510" max="1510" width="56.5" style="64" customWidth="1"/>
    <col min="1511" max="1511" width="15.33203125" style="64" customWidth="1"/>
    <col min="1512" max="1512" width="15.83203125" style="64" customWidth="1"/>
    <col min="1513" max="1513" width="15.1640625" style="64" customWidth="1"/>
    <col min="1514" max="1572" width="13.6640625" style="64" customWidth="1"/>
    <col min="1573" max="1764" width="9.1640625" style="64"/>
    <col min="1765" max="1765" width="5.5" style="64" customWidth="1"/>
    <col min="1766" max="1766" width="56.5" style="64" customWidth="1"/>
    <col min="1767" max="1767" width="15.33203125" style="64" customWidth="1"/>
    <col min="1768" max="1768" width="15.83203125" style="64" customWidth="1"/>
    <col min="1769" max="1769" width="15.1640625" style="64" customWidth="1"/>
    <col min="1770" max="1828" width="13.6640625" style="64" customWidth="1"/>
    <col min="1829" max="2020" width="9.1640625" style="64"/>
    <col min="2021" max="2021" width="5.5" style="64" customWidth="1"/>
    <col min="2022" max="2022" width="56.5" style="64" customWidth="1"/>
    <col min="2023" max="2023" width="15.33203125" style="64" customWidth="1"/>
    <col min="2024" max="2024" width="15.83203125" style="64" customWidth="1"/>
    <col min="2025" max="2025" width="15.1640625" style="64" customWidth="1"/>
    <col min="2026" max="2084" width="13.6640625" style="64" customWidth="1"/>
    <col min="2085" max="2276" width="9.1640625" style="64"/>
    <col min="2277" max="2277" width="5.5" style="64" customWidth="1"/>
    <col min="2278" max="2278" width="56.5" style="64" customWidth="1"/>
    <col min="2279" max="2279" width="15.33203125" style="64" customWidth="1"/>
    <col min="2280" max="2280" width="15.83203125" style="64" customWidth="1"/>
    <col min="2281" max="2281" width="15.1640625" style="64" customWidth="1"/>
    <col min="2282" max="2340" width="13.6640625" style="64" customWidth="1"/>
    <col min="2341" max="2532" width="9.1640625" style="64"/>
    <col min="2533" max="2533" width="5.5" style="64" customWidth="1"/>
    <col min="2534" max="2534" width="56.5" style="64" customWidth="1"/>
    <col min="2535" max="2535" width="15.33203125" style="64" customWidth="1"/>
    <col min="2536" max="2536" width="15.83203125" style="64" customWidth="1"/>
    <col min="2537" max="2537" width="15.1640625" style="64" customWidth="1"/>
    <col min="2538" max="2596" width="13.6640625" style="64" customWidth="1"/>
    <col min="2597" max="2788" width="9.1640625" style="64"/>
    <col min="2789" max="2789" width="5.5" style="64" customWidth="1"/>
    <col min="2790" max="2790" width="56.5" style="64" customWidth="1"/>
    <col min="2791" max="2791" width="15.33203125" style="64" customWidth="1"/>
    <col min="2792" max="2792" width="15.83203125" style="64" customWidth="1"/>
    <col min="2793" max="2793" width="15.1640625" style="64" customWidth="1"/>
    <col min="2794" max="2852" width="13.6640625" style="64" customWidth="1"/>
    <col min="2853" max="3044" width="9.1640625" style="64"/>
    <col min="3045" max="3045" width="5.5" style="64" customWidth="1"/>
    <col min="3046" max="3046" width="56.5" style="64" customWidth="1"/>
    <col min="3047" max="3047" width="15.33203125" style="64" customWidth="1"/>
    <col min="3048" max="3048" width="15.83203125" style="64" customWidth="1"/>
    <col min="3049" max="3049" width="15.1640625" style="64" customWidth="1"/>
    <col min="3050" max="3108" width="13.6640625" style="64" customWidth="1"/>
    <col min="3109" max="3300" width="9.1640625" style="64"/>
    <col min="3301" max="3301" width="5.5" style="64" customWidth="1"/>
    <col min="3302" max="3302" width="56.5" style="64" customWidth="1"/>
    <col min="3303" max="3303" width="15.33203125" style="64" customWidth="1"/>
    <col min="3304" max="3304" width="15.83203125" style="64" customWidth="1"/>
    <col min="3305" max="3305" width="15.1640625" style="64" customWidth="1"/>
    <col min="3306" max="3364" width="13.6640625" style="64" customWidth="1"/>
    <col min="3365" max="3556" width="9.1640625" style="64"/>
    <col min="3557" max="3557" width="5.5" style="64" customWidth="1"/>
    <col min="3558" max="3558" width="56.5" style="64" customWidth="1"/>
    <col min="3559" max="3559" width="15.33203125" style="64" customWidth="1"/>
    <col min="3560" max="3560" width="15.83203125" style="64" customWidth="1"/>
    <col min="3561" max="3561" width="15.1640625" style="64" customWidth="1"/>
    <col min="3562" max="3620" width="13.6640625" style="64" customWidth="1"/>
    <col min="3621" max="3812" width="9.1640625" style="64"/>
    <col min="3813" max="3813" width="5.5" style="64" customWidth="1"/>
    <col min="3814" max="3814" width="56.5" style="64" customWidth="1"/>
    <col min="3815" max="3815" width="15.33203125" style="64" customWidth="1"/>
    <col min="3816" max="3816" width="15.83203125" style="64" customWidth="1"/>
    <col min="3817" max="3817" width="15.1640625" style="64" customWidth="1"/>
    <col min="3818" max="3876" width="13.6640625" style="64" customWidth="1"/>
    <col min="3877" max="4068" width="9.1640625" style="64"/>
    <col min="4069" max="4069" width="5.5" style="64" customWidth="1"/>
    <col min="4070" max="4070" width="56.5" style="64" customWidth="1"/>
    <col min="4071" max="4071" width="15.33203125" style="64" customWidth="1"/>
    <col min="4072" max="4072" width="15.83203125" style="64" customWidth="1"/>
    <col min="4073" max="4073" width="15.1640625" style="64" customWidth="1"/>
    <col min="4074" max="4132" width="13.6640625" style="64" customWidth="1"/>
    <col min="4133" max="4324" width="9.1640625" style="64"/>
    <col min="4325" max="4325" width="5.5" style="64" customWidth="1"/>
    <col min="4326" max="4326" width="56.5" style="64" customWidth="1"/>
    <col min="4327" max="4327" width="15.33203125" style="64" customWidth="1"/>
    <col min="4328" max="4328" width="15.83203125" style="64" customWidth="1"/>
    <col min="4329" max="4329" width="15.1640625" style="64" customWidth="1"/>
    <col min="4330" max="4388" width="13.6640625" style="64" customWidth="1"/>
    <col min="4389" max="4580" width="9.1640625" style="64"/>
    <col min="4581" max="4581" width="5.5" style="64" customWidth="1"/>
    <col min="4582" max="4582" width="56.5" style="64" customWidth="1"/>
    <col min="4583" max="4583" width="15.33203125" style="64" customWidth="1"/>
    <col min="4584" max="4584" width="15.83203125" style="64" customWidth="1"/>
    <col min="4585" max="4585" width="15.1640625" style="64" customWidth="1"/>
    <col min="4586" max="4644" width="13.6640625" style="64" customWidth="1"/>
    <col min="4645" max="4836" width="9.1640625" style="64"/>
    <col min="4837" max="4837" width="5.5" style="64" customWidth="1"/>
    <col min="4838" max="4838" width="56.5" style="64" customWidth="1"/>
    <col min="4839" max="4839" width="15.33203125" style="64" customWidth="1"/>
    <col min="4840" max="4840" width="15.83203125" style="64" customWidth="1"/>
    <col min="4841" max="4841" width="15.1640625" style="64" customWidth="1"/>
    <col min="4842" max="4900" width="13.6640625" style="64" customWidth="1"/>
    <col min="4901" max="5092" width="9.1640625" style="64"/>
    <col min="5093" max="5093" width="5.5" style="64" customWidth="1"/>
    <col min="5094" max="5094" width="56.5" style="64" customWidth="1"/>
    <col min="5095" max="5095" width="15.33203125" style="64" customWidth="1"/>
    <col min="5096" max="5096" width="15.83203125" style="64" customWidth="1"/>
    <col min="5097" max="5097" width="15.1640625" style="64" customWidth="1"/>
    <col min="5098" max="5156" width="13.6640625" style="64" customWidth="1"/>
    <col min="5157" max="5348" width="9.1640625" style="64"/>
    <col min="5349" max="5349" width="5.5" style="64" customWidth="1"/>
    <col min="5350" max="5350" width="56.5" style="64" customWidth="1"/>
    <col min="5351" max="5351" width="15.33203125" style="64" customWidth="1"/>
    <col min="5352" max="5352" width="15.83203125" style="64" customWidth="1"/>
    <col min="5353" max="5353" width="15.1640625" style="64" customWidth="1"/>
    <col min="5354" max="5412" width="13.6640625" style="64" customWidth="1"/>
    <col min="5413" max="5604" width="9.1640625" style="64"/>
    <col min="5605" max="5605" width="5.5" style="64" customWidth="1"/>
    <col min="5606" max="5606" width="56.5" style="64" customWidth="1"/>
    <col min="5607" max="5607" width="15.33203125" style="64" customWidth="1"/>
    <col min="5608" max="5608" width="15.83203125" style="64" customWidth="1"/>
    <col min="5609" max="5609" width="15.1640625" style="64" customWidth="1"/>
    <col min="5610" max="5668" width="13.6640625" style="64" customWidth="1"/>
    <col min="5669" max="5860" width="9.1640625" style="64"/>
    <col min="5861" max="5861" width="5.5" style="64" customWidth="1"/>
    <col min="5862" max="5862" width="56.5" style="64" customWidth="1"/>
    <col min="5863" max="5863" width="15.33203125" style="64" customWidth="1"/>
    <col min="5864" max="5864" width="15.83203125" style="64" customWidth="1"/>
    <col min="5865" max="5865" width="15.1640625" style="64" customWidth="1"/>
    <col min="5866" max="5924" width="13.6640625" style="64" customWidth="1"/>
    <col min="5925" max="6116" width="9.1640625" style="64"/>
    <col min="6117" max="6117" width="5.5" style="64" customWidth="1"/>
    <col min="6118" max="6118" width="56.5" style="64" customWidth="1"/>
    <col min="6119" max="6119" width="15.33203125" style="64" customWidth="1"/>
    <col min="6120" max="6120" width="15.83203125" style="64" customWidth="1"/>
    <col min="6121" max="6121" width="15.1640625" style="64" customWidth="1"/>
    <col min="6122" max="6180" width="13.6640625" style="64" customWidth="1"/>
    <col min="6181" max="6372" width="9.1640625" style="64"/>
    <col min="6373" max="6373" width="5.5" style="64" customWidth="1"/>
    <col min="6374" max="6374" width="56.5" style="64" customWidth="1"/>
    <col min="6375" max="6375" width="15.33203125" style="64" customWidth="1"/>
    <col min="6376" max="6376" width="15.83203125" style="64" customWidth="1"/>
    <col min="6377" max="6377" width="15.1640625" style="64" customWidth="1"/>
    <col min="6378" max="6436" width="13.6640625" style="64" customWidth="1"/>
    <col min="6437" max="6628" width="9.1640625" style="64"/>
    <col min="6629" max="6629" width="5.5" style="64" customWidth="1"/>
    <col min="6630" max="6630" width="56.5" style="64" customWidth="1"/>
    <col min="6631" max="6631" width="15.33203125" style="64" customWidth="1"/>
    <col min="6632" max="6632" width="15.83203125" style="64" customWidth="1"/>
    <col min="6633" max="6633" width="15.1640625" style="64" customWidth="1"/>
    <col min="6634" max="6692" width="13.6640625" style="64" customWidth="1"/>
    <col min="6693" max="6884" width="9.1640625" style="64"/>
    <col min="6885" max="6885" width="5.5" style="64" customWidth="1"/>
    <col min="6886" max="6886" width="56.5" style="64" customWidth="1"/>
    <col min="6887" max="6887" width="15.33203125" style="64" customWidth="1"/>
    <col min="6888" max="6888" width="15.83203125" style="64" customWidth="1"/>
    <col min="6889" max="6889" width="15.1640625" style="64" customWidth="1"/>
    <col min="6890" max="6948" width="13.6640625" style="64" customWidth="1"/>
    <col min="6949" max="7140" width="9.1640625" style="64"/>
    <col min="7141" max="7141" width="5.5" style="64" customWidth="1"/>
    <col min="7142" max="7142" width="56.5" style="64" customWidth="1"/>
    <col min="7143" max="7143" width="15.33203125" style="64" customWidth="1"/>
    <col min="7144" max="7144" width="15.83203125" style="64" customWidth="1"/>
    <col min="7145" max="7145" width="15.1640625" style="64" customWidth="1"/>
    <col min="7146" max="7204" width="13.6640625" style="64" customWidth="1"/>
    <col min="7205" max="7396" width="9.1640625" style="64"/>
    <col min="7397" max="7397" width="5.5" style="64" customWidth="1"/>
    <col min="7398" max="7398" width="56.5" style="64" customWidth="1"/>
    <col min="7399" max="7399" width="15.33203125" style="64" customWidth="1"/>
    <col min="7400" max="7400" width="15.83203125" style="64" customWidth="1"/>
    <col min="7401" max="7401" width="15.1640625" style="64" customWidth="1"/>
    <col min="7402" max="7460" width="13.6640625" style="64" customWidth="1"/>
    <col min="7461" max="7652" width="9.1640625" style="64"/>
    <col min="7653" max="7653" width="5.5" style="64" customWidth="1"/>
    <col min="7654" max="7654" width="56.5" style="64" customWidth="1"/>
    <col min="7655" max="7655" width="15.33203125" style="64" customWidth="1"/>
    <col min="7656" max="7656" width="15.83203125" style="64" customWidth="1"/>
    <col min="7657" max="7657" width="15.1640625" style="64" customWidth="1"/>
    <col min="7658" max="7716" width="13.6640625" style="64" customWidth="1"/>
    <col min="7717" max="7908" width="9.1640625" style="64"/>
    <col min="7909" max="7909" width="5.5" style="64" customWidth="1"/>
    <col min="7910" max="7910" width="56.5" style="64" customWidth="1"/>
    <col min="7911" max="7911" width="15.33203125" style="64" customWidth="1"/>
    <col min="7912" max="7912" width="15.83203125" style="64" customWidth="1"/>
    <col min="7913" max="7913" width="15.1640625" style="64" customWidth="1"/>
    <col min="7914" max="7972" width="13.6640625" style="64" customWidth="1"/>
    <col min="7973" max="8164" width="9.1640625" style="64"/>
    <col min="8165" max="8165" width="5.5" style="64" customWidth="1"/>
    <col min="8166" max="8166" width="56.5" style="64" customWidth="1"/>
    <col min="8167" max="8167" width="15.33203125" style="64" customWidth="1"/>
    <col min="8168" max="8168" width="15.83203125" style="64" customWidth="1"/>
    <col min="8169" max="8169" width="15.1640625" style="64" customWidth="1"/>
    <col min="8170" max="8228" width="13.6640625" style="64" customWidth="1"/>
    <col min="8229" max="8420" width="9.1640625" style="64"/>
    <col min="8421" max="8421" width="5.5" style="64" customWidth="1"/>
    <col min="8422" max="8422" width="56.5" style="64" customWidth="1"/>
    <col min="8423" max="8423" width="15.33203125" style="64" customWidth="1"/>
    <col min="8424" max="8424" width="15.83203125" style="64" customWidth="1"/>
    <col min="8425" max="8425" width="15.1640625" style="64" customWidth="1"/>
    <col min="8426" max="8484" width="13.6640625" style="64" customWidth="1"/>
    <col min="8485" max="8676" width="9.1640625" style="64"/>
    <col min="8677" max="8677" width="5.5" style="64" customWidth="1"/>
    <col min="8678" max="8678" width="56.5" style="64" customWidth="1"/>
    <col min="8679" max="8679" width="15.33203125" style="64" customWidth="1"/>
    <col min="8680" max="8680" width="15.83203125" style="64" customWidth="1"/>
    <col min="8681" max="8681" width="15.1640625" style="64" customWidth="1"/>
    <col min="8682" max="8740" width="13.6640625" style="64" customWidth="1"/>
    <col min="8741" max="8932" width="9.1640625" style="64"/>
    <col min="8933" max="8933" width="5.5" style="64" customWidth="1"/>
    <col min="8934" max="8934" width="56.5" style="64" customWidth="1"/>
    <col min="8935" max="8935" width="15.33203125" style="64" customWidth="1"/>
    <col min="8936" max="8936" width="15.83203125" style="64" customWidth="1"/>
    <col min="8937" max="8937" width="15.1640625" style="64" customWidth="1"/>
    <col min="8938" max="8996" width="13.6640625" style="64" customWidth="1"/>
    <col min="8997" max="9188" width="9.1640625" style="64"/>
    <col min="9189" max="9189" width="5.5" style="64" customWidth="1"/>
    <col min="9190" max="9190" width="56.5" style="64" customWidth="1"/>
    <col min="9191" max="9191" width="15.33203125" style="64" customWidth="1"/>
    <col min="9192" max="9192" width="15.83203125" style="64" customWidth="1"/>
    <col min="9193" max="9193" width="15.1640625" style="64" customWidth="1"/>
    <col min="9194" max="9252" width="13.6640625" style="64" customWidth="1"/>
    <col min="9253" max="9444" width="9.1640625" style="64"/>
    <col min="9445" max="9445" width="5.5" style="64" customWidth="1"/>
    <col min="9446" max="9446" width="56.5" style="64" customWidth="1"/>
    <col min="9447" max="9447" width="15.33203125" style="64" customWidth="1"/>
    <col min="9448" max="9448" width="15.83203125" style="64" customWidth="1"/>
    <col min="9449" max="9449" width="15.1640625" style="64" customWidth="1"/>
    <col min="9450" max="9508" width="13.6640625" style="64" customWidth="1"/>
    <col min="9509" max="9700" width="9.1640625" style="64"/>
    <col min="9701" max="9701" width="5.5" style="64" customWidth="1"/>
    <col min="9702" max="9702" width="56.5" style="64" customWidth="1"/>
    <col min="9703" max="9703" width="15.33203125" style="64" customWidth="1"/>
    <col min="9704" max="9704" width="15.83203125" style="64" customWidth="1"/>
    <col min="9705" max="9705" width="15.1640625" style="64" customWidth="1"/>
    <col min="9706" max="9764" width="13.6640625" style="64" customWidth="1"/>
    <col min="9765" max="9956" width="9.1640625" style="64"/>
    <col min="9957" max="9957" width="5.5" style="64" customWidth="1"/>
    <col min="9958" max="9958" width="56.5" style="64" customWidth="1"/>
    <col min="9959" max="9959" width="15.33203125" style="64" customWidth="1"/>
    <col min="9960" max="9960" width="15.83203125" style="64" customWidth="1"/>
    <col min="9961" max="9961" width="15.1640625" style="64" customWidth="1"/>
    <col min="9962" max="10020" width="13.6640625" style="64" customWidth="1"/>
    <col min="10021" max="10212" width="9.1640625" style="64"/>
    <col min="10213" max="10213" width="5.5" style="64" customWidth="1"/>
    <col min="10214" max="10214" width="56.5" style="64" customWidth="1"/>
    <col min="10215" max="10215" width="15.33203125" style="64" customWidth="1"/>
    <col min="10216" max="10216" width="15.83203125" style="64" customWidth="1"/>
    <col min="10217" max="10217" width="15.1640625" style="64" customWidth="1"/>
    <col min="10218" max="10276" width="13.6640625" style="64" customWidth="1"/>
    <col min="10277" max="10468" width="9.1640625" style="64"/>
    <col min="10469" max="10469" width="5.5" style="64" customWidth="1"/>
    <col min="10470" max="10470" width="56.5" style="64" customWidth="1"/>
    <col min="10471" max="10471" width="15.33203125" style="64" customWidth="1"/>
    <col min="10472" max="10472" width="15.83203125" style="64" customWidth="1"/>
    <col min="10473" max="10473" width="15.1640625" style="64" customWidth="1"/>
    <col min="10474" max="10532" width="13.6640625" style="64" customWidth="1"/>
    <col min="10533" max="10724" width="9.1640625" style="64"/>
    <col min="10725" max="10725" width="5.5" style="64" customWidth="1"/>
    <col min="10726" max="10726" width="56.5" style="64" customWidth="1"/>
    <col min="10727" max="10727" width="15.33203125" style="64" customWidth="1"/>
    <col min="10728" max="10728" width="15.83203125" style="64" customWidth="1"/>
    <col min="10729" max="10729" width="15.1640625" style="64" customWidth="1"/>
    <col min="10730" max="10788" width="13.6640625" style="64" customWidth="1"/>
    <col min="10789" max="10980" width="9.1640625" style="64"/>
    <col min="10981" max="10981" width="5.5" style="64" customWidth="1"/>
    <col min="10982" max="10982" width="56.5" style="64" customWidth="1"/>
    <col min="10983" max="10983" width="15.33203125" style="64" customWidth="1"/>
    <col min="10984" max="10984" width="15.83203125" style="64" customWidth="1"/>
    <col min="10985" max="10985" width="15.1640625" style="64" customWidth="1"/>
    <col min="10986" max="11044" width="13.6640625" style="64" customWidth="1"/>
    <col min="11045" max="11236" width="9.1640625" style="64"/>
    <col min="11237" max="11237" width="5.5" style="64" customWidth="1"/>
    <col min="11238" max="11238" width="56.5" style="64" customWidth="1"/>
    <col min="11239" max="11239" width="15.33203125" style="64" customWidth="1"/>
    <col min="11240" max="11240" width="15.83203125" style="64" customWidth="1"/>
    <col min="11241" max="11241" width="15.1640625" style="64" customWidth="1"/>
    <col min="11242" max="11300" width="13.6640625" style="64" customWidth="1"/>
    <col min="11301" max="11492" width="9.1640625" style="64"/>
    <col min="11493" max="11493" width="5.5" style="64" customWidth="1"/>
    <col min="11494" max="11494" width="56.5" style="64" customWidth="1"/>
    <col min="11495" max="11495" width="15.33203125" style="64" customWidth="1"/>
    <col min="11496" max="11496" width="15.83203125" style="64" customWidth="1"/>
    <col min="11497" max="11497" width="15.1640625" style="64" customWidth="1"/>
    <col min="11498" max="11556" width="13.6640625" style="64" customWidth="1"/>
    <col min="11557" max="11748" width="9.1640625" style="64"/>
    <col min="11749" max="11749" width="5.5" style="64" customWidth="1"/>
    <col min="11750" max="11750" width="56.5" style="64" customWidth="1"/>
    <col min="11751" max="11751" width="15.33203125" style="64" customWidth="1"/>
    <col min="11752" max="11752" width="15.83203125" style="64" customWidth="1"/>
    <col min="11753" max="11753" width="15.1640625" style="64" customWidth="1"/>
    <col min="11754" max="11812" width="13.6640625" style="64" customWidth="1"/>
    <col min="11813" max="12004" width="9.1640625" style="64"/>
    <col min="12005" max="12005" width="5.5" style="64" customWidth="1"/>
    <col min="12006" max="12006" width="56.5" style="64" customWidth="1"/>
    <col min="12007" max="12007" width="15.33203125" style="64" customWidth="1"/>
    <col min="12008" max="12008" width="15.83203125" style="64" customWidth="1"/>
    <col min="12009" max="12009" width="15.1640625" style="64" customWidth="1"/>
    <col min="12010" max="12068" width="13.6640625" style="64" customWidth="1"/>
    <col min="12069" max="12260" width="9.1640625" style="64"/>
    <col min="12261" max="12261" width="5.5" style="64" customWidth="1"/>
    <col min="12262" max="12262" width="56.5" style="64" customWidth="1"/>
    <col min="12263" max="12263" width="15.33203125" style="64" customWidth="1"/>
    <col min="12264" max="12264" width="15.83203125" style="64" customWidth="1"/>
    <col min="12265" max="12265" width="15.1640625" style="64" customWidth="1"/>
    <col min="12266" max="12324" width="13.6640625" style="64" customWidth="1"/>
    <col min="12325" max="12516" width="9.1640625" style="64"/>
    <col min="12517" max="12517" width="5.5" style="64" customWidth="1"/>
    <col min="12518" max="12518" width="56.5" style="64" customWidth="1"/>
    <col min="12519" max="12519" width="15.33203125" style="64" customWidth="1"/>
    <col min="12520" max="12520" width="15.83203125" style="64" customWidth="1"/>
    <col min="12521" max="12521" width="15.1640625" style="64" customWidth="1"/>
    <col min="12522" max="12580" width="13.6640625" style="64" customWidth="1"/>
    <col min="12581" max="12772" width="9.1640625" style="64"/>
    <col min="12773" max="12773" width="5.5" style="64" customWidth="1"/>
    <col min="12774" max="12774" width="56.5" style="64" customWidth="1"/>
    <col min="12775" max="12775" width="15.33203125" style="64" customWidth="1"/>
    <col min="12776" max="12776" width="15.83203125" style="64" customWidth="1"/>
    <col min="12777" max="12777" width="15.1640625" style="64" customWidth="1"/>
    <col min="12778" max="12836" width="13.6640625" style="64" customWidth="1"/>
    <col min="12837" max="13028" width="9.1640625" style="64"/>
    <col min="13029" max="13029" width="5.5" style="64" customWidth="1"/>
    <col min="13030" max="13030" width="56.5" style="64" customWidth="1"/>
    <col min="13031" max="13031" width="15.33203125" style="64" customWidth="1"/>
    <col min="13032" max="13032" width="15.83203125" style="64" customWidth="1"/>
    <col min="13033" max="13033" width="15.1640625" style="64" customWidth="1"/>
    <col min="13034" max="13092" width="13.6640625" style="64" customWidth="1"/>
    <col min="13093" max="13284" width="9.1640625" style="64"/>
    <col min="13285" max="13285" width="5.5" style="64" customWidth="1"/>
    <col min="13286" max="13286" width="56.5" style="64" customWidth="1"/>
    <col min="13287" max="13287" width="15.33203125" style="64" customWidth="1"/>
    <col min="13288" max="13288" width="15.83203125" style="64" customWidth="1"/>
    <col min="13289" max="13289" width="15.1640625" style="64" customWidth="1"/>
    <col min="13290" max="13348" width="13.6640625" style="64" customWidth="1"/>
    <col min="13349" max="13540" width="9.1640625" style="64"/>
    <col min="13541" max="13541" width="5.5" style="64" customWidth="1"/>
    <col min="13542" max="13542" width="56.5" style="64" customWidth="1"/>
    <col min="13543" max="13543" width="15.33203125" style="64" customWidth="1"/>
    <col min="13544" max="13544" width="15.83203125" style="64" customWidth="1"/>
    <col min="13545" max="13545" width="15.1640625" style="64" customWidth="1"/>
    <col min="13546" max="13604" width="13.6640625" style="64" customWidth="1"/>
    <col min="13605" max="13796" width="9.1640625" style="64"/>
    <col min="13797" max="13797" width="5.5" style="64" customWidth="1"/>
    <col min="13798" max="13798" width="56.5" style="64" customWidth="1"/>
    <col min="13799" max="13799" width="15.33203125" style="64" customWidth="1"/>
    <col min="13800" max="13800" width="15.83203125" style="64" customWidth="1"/>
    <col min="13801" max="13801" width="15.1640625" style="64" customWidth="1"/>
    <col min="13802" max="13860" width="13.6640625" style="64" customWidth="1"/>
    <col min="13861" max="14052" width="9.1640625" style="64"/>
    <col min="14053" max="14053" width="5.5" style="64" customWidth="1"/>
    <col min="14054" max="14054" width="56.5" style="64" customWidth="1"/>
    <col min="14055" max="14055" width="15.33203125" style="64" customWidth="1"/>
    <col min="14056" max="14056" width="15.83203125" style="64" customWidth="1"/>
    <col min="14057" max="14057" width="15.1640625" style="64" customWidth="1"/>
    <col min="14058" max="14116" width="13.6640625" style="64" customWidth="1"/>
    <col min="14117" max="14308" width="9.1640625" style="64"/>
    <col min="14309" max="14309" width="5.5" style="64" customWidth="1"/>
    <col min="14310" max="14310" width="56.5" style="64" customWidth="1"/>
    <col min="14311" max="14311" width="15.33203125" style="64" customWidth="1"/>
    <col min="14312" max="14312" width="15.83203125" style="64" customWidth="1"/>
    <col min="14313" max="14313" width="15.1640625" style="64" customWidth="1"/>
    <col min="14314" max="14372" width="13.6640625" style="64" customWidth="1"/>
    <col min="14373" max="14564" width="9.1640625" style="64"/>
    <col min="14565" max="14565" width="5.5" style="64" customWidth="1"/>
    <col min="14566" max="14566" width="56.5" style="64" customWidth="1"/>
    <col min="14567" max="14567" width="15.33203125" style="64" customWidth="1"/>
    <col min="14568" max="14568" width="15.83203125" style="64" customWidth="1"/>
    <col min="14569" max="14569" width="15.1640625" style="64" customWidth="1"/>
    <col min="14570" max="14628" width="13.6640625" style="64" customWidth="1"/>
    <col min="14629" max="14820" width="9.1640625" style="64"/>
    <col min="14821" max="14821" width="5.5" style="64" customWidth="1"/>
    <col min="14822" max="14822" width="56.5" style="64" customWidth="1"/>
    <col min="14823" max="14823" width="15.33203125" style="64" customWidth="1"/>
    <col min="14824" max="14824" width="15.83203125" style="64" customWidth="1"/>
    <col min="14825" max="14825" width="15.1640625" style="64" customWidth="1"/>
    <col min="14826" max="14884" width="13.6640625" style="64" customWidth="1"/>
    <col min="14885" max="15076" width="9.1640625" style="64"/>
    <col min="15077" max="15077" width="5.5" style="64" customWidth="1"/>
    <col min="15078" max="15078" width="56.5" style="64" customWidth="1"/>
    <col min="15079" max="15079" width="15.33203125" style="64" customWidth="1"/>
    <col min="15080" max="15080" width="15.83203125" style="64" customWidth="1"/>
    <col min="15081" max="15081" width="15.1640625" style="64" customWidth="1"/>
    <col min="15082" max="15140" width="13.6640625" style="64" customWidth="1"/>
    <col min="15141" max="15332" width="9.1640625" style="64"/>
    <col min="15333" max="15333" width="5.5" style="64" customWidth="1"/>
    <col min="15334" max="15334" width="56.5" style="64" customWidth="1"/>
    <col min="15335" max="15335" width="15.33203125" style="64" customWidth="1"/>
    <col min="15336" max="15336" width="15.83203125" style="64" customWidth="1"/>
    <col min="15337" max="15337" width="15.1640625" style="64" customWidth="1"/>
    <col min="15338" max="15396" width="13.6640625" style="64" customWidth="1"/>
    <col min="15397" max="15588" width="9.1640625" style="64"/>
    <col min="15589" max="15589" width="5.5" style="64" customWidth="1"/>
    <col min="15590" max="15590" width="56.5" style="64" customWidth="1"/>
    <col min="15591" max="15591" width="15.33203125" style="64" customWidth="1"/>
    <col min="15592" max="15592" width="15.83203125" style="64" customWidth="1"/>
    <col min="15593" max="15593" width="15.1640625" style="64" customWidth="1"/>
    <col min="15594" max="15652" width="13.6640625" style="64" customWidth="1"/>
    <col min="15653" max="15844" width="9.1640625" style="64"/>
    <col min="15845" max="15845" width="5.5" style="64" customWidth="1"/>
    <col min="15846" max="15846" width="56.5" style="64" customWidth="1"/>
    <col min="15847" max="15847" width="15.33203125" style="64" customWidth="1"/>
    <col min="15848" max="15848" width="15.83203125" style="64" customWidth="1"/>
    <col min="15849" max="15849" width="15.1640625" style="64" customWidth="1"/>
    <col min="15850" max="15908" width="13.6640625" style="64" customWidth="1"/>
    <col min="15909" max="16100" width="9.1640625" style="64"/>
    <col min="16101" max="16101" width="5.5" style="64" customWidth="1"/>
    <col min="16102" max="16102" width="56.5" style="64" customWidth="1"/>
    <col min="16103" max="16103" width="15.33203125" style="64" customWidth="1"/>
    <col min="16104" max="16104" width="15.83203125" style="64" customWidth="1"/>
    <col min="16105" max="16105" width="15.1640625" style="64" customWidth="1"/>
    <col min="16106" max="16164" width="13.6640625" style="64" customWidth="1"/>
    <col min="16165" max="16384" width="9.1640625" style="64"/>
  </cols>
  <sheetData>
    <row r="1" spans="2:36" ht="16">
      <c r="F1" s="30" t="s">
        <v>66</v>
      </c>
    </row>
    <row r="2" spans="2:36" s="29" customFormat="1" ht="16">
      <c r="B2" s="31" t="s">
        <v>125</v>
      </c>
      <c r="C2" s="31"/>
      <c r="D2" s="31"/>
      <c r="E2" s="253" t="s">
        <v>61</v>
      </c>
      <c r="F2" s="32">
        <v>0</v>
      </c>
      <c r="G2" s="32">
        <v>1</v>
      </c>
      <c r="H2" s="32">
        <v>2</v>
      </c>
      <c r="I2" s="32">
        <v>3</v>
      </c>
      <c r="J2" s="32">
        <v>4</v>
      </c>
      <c r="K2" s="32">
        <v>5</v>
      </c>
      <c r="L2" s="32">
        <v>6</v>
      </c>
      <c r="M2" s="32">
        <v>7</v>
      </c>
      <c r="N2" s="32">
        <v>8</v>
      </c>
      <c r="O2" s="32">
        <v>9</v>
      </c>
      <c r="P2" s="32">
        <v>10</v>
      </c>
      <c r="Q2" s="32">
        <v>11</v>
      </c>
      <c r="R2" s="32">
        <v>12</v>
      </c>
      <c r="S2" s="32">
        <v>13</v>
      </c>
      <c r="T2" s="32">
        <v>14</v>
      </c>
      <c r="U2" s="32">
        <v>15</v>
      </c>
      <c r="V2" s="32">
        <v>16</v>
      </c>
      <c r="W2" s="32">
        <v>17</v>
      </c>
      <c r="X2" s="32">
        <v>18</v>
      </c>
      <c r="Y2" s="32">
        <v>19</v>
      </c>
      <c r="Z2" s="32">
        <v>20</v>
      </c>
      <c r="AA2" s="32">
        <v>21</v>
      </c>
      <c r="AB2" s="32">
        <v>22</v>
      </c>
      <c r="AC2" s="32">
        <v>23</v>
      </c>
      <c r="AD2" s="32">
        <v>24</v>
      </c>
      <c r="AE2" s="32">
        <v>25</v>
      </c>
      <c r="AF2" s="32">
        <v>26</v>
      </c>
      <c r="AG2" s="32">
        <v>27</v>
      </c>
      <c r="AH2" s="32">
        <v>28</v>
      </c>
      <c r="AI2" s="32">
        <v>29</v>
      </c>
      <c r="AJ2" s="32">
        <v>30</v>
      </c>
    </row>
    <row r="3" spans="2:36" s="29" customFormat="1" ht="16"/>
    <row r="4" spans="2:36" s="29" customFormat="1" ht="16">
      <c r="B4" s="29" t="s">
        <v>67</v>
      </c>
      <c r="E4" s="79"/>
      <c r="G4" s="320">
        <v>1</v>
      </c>
      <c r="H4" s="33">
        <f>G4*(1-Inputs!$G$17)</f>
        <v>1</v>
      </c>
      <c r="I4" s="33">
        <f>H4*(1-Inputs!$G$17)</f>
        <v>1</v>
      </c>
      <c r="J4" s="33">
        <f>I4*(1-Inputs!$G$17)</f>
        <v>1</v>
      </c>
      <c r="K4" s="33">
        <f>J4*(1-Inputs!$G$17)</f>
        <v>1</v>
      </c>
      <c r="L4" s="33">
        <f>K4*(1-Inputs!$G$17)</f>
        <v>1</v>
      </c>
      <c r="M4" s="33">
        <f>L4*(1-Inputs!$G$17)</f>
        <v>1</v>
      </c>
      <c r="N4" s="33">
        <f>M4*(1-Inputs!$G$17)</f>
        <v>1</v>
      </c>
      <c r="O4" s="33">
        <f>N4*(1-Inputs!$G$17)</f>
        <v>1</v>
      </c>
      <c r="P4" s="33">
        <f>O4*(1-Inputs!$G$17)</f>
        <v>1</v>
      </c>
      <c r="Q4" s="33">
        <f>P4*(1-Inputs!$G$17)</f>
        <v>1</v>
      </c>
      <c r="R4" s="33">
        <f>Q4*(1-Inputs!$G$17)</f>
        <v>1</v>
      </c>
      <c r="S4" s="33">
        <f>R4*(1-Inputs!$G$17)</f>
        <v>1</v>
      </c>
      <c r="T4" s="33">
        <f>S4*(1-Inputs!$G$17)</f>
        <v>1</v>
      </c>
      <c r="U4" s="33">
        <f>T4*(1-Inputs!$G$17)</f>
        <v>1</v>
      </c>
      <c r="V4" s="33">
        <f>U4*(1-Inputs!$G$17)</f>
        <v>1</v>
      </c>
      <c r="W4" s="33">
        <f>V4*(1-Inputs!$G$17)</f>
        <v>1</v>
      </c>
      <c r="X4" s="33">
        <f>W4*(1-Inputs!$G$17)</f>
        <v>1</v>
      </c>
      <c r="Y4" s="33">
        <f>X4*(1-Inputs!$G$17)</f>
        <v>1</v>
      </c>
      <c r="Z4" s="33">
        <f>Y4*(1-Inputs!$G$17)</f>
        <v>1</v>
      </c>
      <c r="AA4" s="33">
        <f>Z4*(1-Inputs!$G$17)</f>
        <v>1</v>
      </c>
      <c r="AB4" s="33">
        <f>AA4*(1-Inputs!$G$17)</f>
        <v>1</v>
      </c>
      <c r="AC4" s="33">
        <f>AB4*(1-Inputs!$G$17)</f>
        <v>1</v>
      </c>
      <c r="AD4" s="33">
        <f>AC4*(1-Inputs!$G$17)</f>
        <v>1</v>
      </c>
      <c r="AE4" s="33">
        <f>AD4*(1-Inputs!$G$17)</f>
        <v>1</v>
      </c>
      <c r="AF4" s="33">
        <f>AE4*(1-Inputs!$G$17)</f>
        <v>1</v>
      </c>
      <c r="AG4" s="33">
        <f>AF4*(1-Inputs!$G$17)</f>
        <v>1</v>
      </c>
      <c r="AH4" s="33">
        <f>AG4*(1-Inputs!$G$17)</f>
        <v>1</v>
      </c>
      <c r="AI4" s="33">
        <f>AH4*(1-Inputs!$G$17)</f>
        <v>1</v>
      </c>
      <c r="AJ4" s="33">
        <f>AI4*(1-Inputs!$G$17)</f>
        <v>1</v>
      </c>
    </row>
    <row r="5" spans="2:36" s="29" customFormat="1" ht="16">
      <c r="B5" s="34" t="s">
        <v>477</v>
      </c>
      <c r="C5" s="34"/>
      <c r="D5" s="34"/>
      <c r="E5" s="79" t="s">
        <v>2</v>
      </c>
      <c r="G5" s="35">
        <f>Inputs!$G$16</f>
        <v>3626640</v>
      </c>
      <c r="H5" s="35">
        <f>IF(H$2&gt;Inputs!$G$18,0,Inputs!$G$16*H$4)</f>
        <v>3626640</v>
      </c>
      <c r="I5" s="35">
        <f>IF(I$2&gt;Inputs!$G$18,0,Inputs!$G$16*I$4)</f>
        <v>3626640</v>
      </c>
      <c r="J5" s="35">
        <f>IF(J$2&gt;Inputs!$G$18,0,Inputs!$G$16*J$4)</f>
        <v>3626640</v>
      </c>
      <c r="K5" s="35">
        <f>IF(K$2&gt;Inputs!$G$18,0,Inputs!$G$16*K$4)</f>
        <v>3626640</v>
      </c>
      <c r="L5" s="35">
        <f>IF(L$2&gt;Inputs!$G$18,0,Inputs!$G$16*L$4)</f>
        <v>3626640</v>
      </c>
      <c r="M5" s="35">
        <f>IF(M$2&gt;Inputs!$G$18,0,Inputs!$G$16*M$4)</f>
        <v>3626640</v>
      </c>
      <c r="N5" s="35">
        <f>IF(N$2&gt;Inputs!$G$18,0,Inputs!$G$16*N$4)</f>
        <v>3626640</v>
      </c>
      <c r="O5" s="35">
        <f>IF(O$2&gt;Inputs!$G$18,0,Inputs!$G$16*O$4)</f>
        <v>3626640</v>
      </c>
      <c r="P5" s="35">
        <f>IF(P$2&gt;Inputs!$G$18,0,Inputs!$G$16*P$4)</f>
        <v>3626640</v>
      </c>
      <c r="Q5" s="35">
        <f>IF(Q$2&gt;Inputs!$G$18,0,Inputs!$G$16*Q$4)</f>
        <v>3626640</v>
      </c>
      <c r="R5" s="35">
        <f>IF(R$2&gt;Inputs!$G$18,0,Inputs!$G$16*R$4)</f>
        <v>3626640</v>
      </c>
      <c r="S5" s="35">
        <f>IF(S$2&gt;Inputs!$G$18,0,Inputs!$G$16*S$4)</f>
        <v>3626640</v>
      </c>
      <c r="T5" s="35">
        <f>IF(T$2&gt;Inputs!$G$18,0,Inputs!$G$16*T$4)</f>
        <v>3626640</v>
      </c>
      <c r="U5" s="35">
        <f>IF(U$2&gt;Inputs!$G$18,0,Inputs!$G$16*U$4)</f>
        <v>3626640</v>
      </c>
      <c r="V5" s="35">
        <f>IF(V$2&gt;Inputs!$G$18,0,Inputs!$G$16*V$4)</f>
        <v>3626640</v>
      </c>
      <c r="W5" s="35">
        <f>IF(W$2&gt;Inputs!$G$18,0,Inputs!$G$16*W$4)</f>
        <v>3626640</v>
      </c>
      <c r="X5" s="35">
        <f>IF(X$2&gt;Inputs!$G$18,0,Inputs!$G$16*X$4)</f>
        <v>3626640</v>
      </c>
      <c r="Y5" s="35">
        <f>IF(Y$2&gt;Inputs!$G$18,0,Inputs!$G$16*Y$4)</f>
        <v>3626640</v>
      </c>
      <c r="Z5" s="35">
        <f>IF(Z$2&gt;Inputs!$G$18,0,Inputs!$G$16*Z$4)</f>
        <v>3626640</v>
      </c>
      <c r="AA5" s="35">
        <f>IF(AA$2&gt;Inputs!$G$18,0,Inputs!$G$16*AA$4)</f>
        <v>0</v>
      </c>
      <c r="AB5" s="35">
        <f>IF(AB$2&gt;Inputs!$G$18,0,Inputs!$G$16*AB$4)</f>
        <v>0</v>
      </c>
      <c r="AC5" s="35">
        <f>IF(AC$2&gt;Inputs!$G$18,0,Inputs!$G$16*AC$4)</f>
        <v>0</v>
      </c>
      <c r="AD5" s="35">
        <f>IF(AD$2&gt;Inputs!$G$18,0,Inputs!$G$16*AD$4)</f>
        <v>0</v>
      </c>
      <c r="AE5" s="35">
        <f>IF(AE$2&gt;Inputs!$G$18,0,Inputs!$G$16*AE$4)</f>
        <v>0</v>
      </c>
      <c r="AF5" s="35">
        <f>IF(AF$2&gt;Inputs!$G$18,0,Inputs!$G$16*AF$4)</f>
        <v>0</v>
      </c>
      <c r="AG5" s="35">
        <f>IF(AG$2&gt;Inputs!$G$18,0,Inputs!$G$16*AG$4)</f>
        <v>0</v>
      </c>
      <c r="AH5" s="35">
        <f>IF(AH$2&gt;Inputs!$G$18,0,Inputs!$G$16*AH$4)</f>
        <v>0</v>
      </c>
      <c r="AI5" s="35">
        <f>IF(AI$2&gt;Inputs!$G$18,0,Inputs!$G$16*AI$4)</f>
        <v>0</v>
      </c>
      <c r="AJ5" s="35">
        <f>IF(AJ$2&gt;Inputs!$G$18,0,Inputs!$G$16*AJ$4)</f>
        <v>0</v>
      </c>
    </row>
    <row r="6" spans="2:36" s="29" customFormat="1" ht="16">
      <c r="B6" s="34" t="s">
        <v>478</v>
      </c>
      <c r="C6" s="34"/>
      <c r="D6" s="34"/>
      <c r="E6" s="79" t="s">
        <v>479</v>
      </c>
      <c r="G6" s="35">
        <f>IF(G$2&gt;Inputs!$G$18,0,(G5*Inputs!$Q$17)/100000)</f>
        <v>195333.93894857142</v>
      </c>
      <c r="H6" s="35">
        <f>IF(H$2&gt;Inputs!$G$18,0,(H5*Inputs!$Q$17)/100000)</f>
        <v>195333.93894857142</v>
      </c>
      <c r="I6" s="35">
        <f>IF(I$2&gt;Inputs!$G$18,0,(I5*Inputs!$Q$17)/100000)</f>
        <v>195333.93894857142</v>
      </c>
      <c r="J6" s="35">
        <f>IF(J$2&gt;Inputs!$G$18,0,(J5*Inputs!$Q$17)/100000)</f>
        <v>195333.93894857142</v>
      </c>
      <c r="K6" s="35">
        <f>IF(K$2&gt;Inputs!$G$18,0,(K5*Inputs!$Q$17)/100000)</f>
        <v>195333.93894857142</v>
      </c>
      <c r="L6" s="35">
        <f>IF(L$2&gt;Inputs!$G$18,0,(L5*Inputs!$Q$17)/100000)</f>
        <v>195333.93894857142</v>
      </c>
      <c r="M6" s="35">
        <f>IF(M$2&gt;Inputs!$G$18,0,(M5*Inputs!$Q$17)/100000)</f>
        <v>195333.93894857142</v>
      </c>
      <c r="N6" s="35">
        <f>IF(N$2&gt;Inputs!$G$18,0,(N5*Inputs!$Q$17)/100000)</f>
        <v>195333.93894857142</v>
      </c>
      <c r="O6" s="35">
        <f>IF(O$2&gt;Inputs!$G$18,0,(O5*Inputs!$Q$17)/100000)</f>
        <v>195333.93894857142</v>
      </c>
      <c r="P6" s="35">
        <f>IF(P$2&gt;Inputs!$G$18,0,(P5*Inputs!$Q$17)/100000)</f>
        <v>195333.93894857142</v>
      </c>
      <c r="Q6" s="35">
        <f>IF(Q$2&gt;Inputs!$G$18,0,(Q5*Inputs!$Q$17)/100000)</f>
        <v>195333.93894857142</v>
      </c>
      <c r="R6" s="35">
        <f>IF(R$2&gt;Inputs!$G$18,0,(R5*Inputs!$Q$17)/100000)</f>
        <v>195333.93894857142</v>
      </c>
      <c r="S6" s="35">
        <f>IF(S$2&gt;Inputs!$G$18,0,(S5*Inputs!$Q$17)/100000)</f>
        <v>195333.93894857142</v>
      </c>
      <c r="T6" s="35">
        <f>IF(T$2&gt;Inputs!$G$18,0,(T5*Inputs!$Q$17)/100000)</f>
        <v>195333.93894857142</v>
      </c>
      <c r="U6" s="35">
        <f>IF(U$2&gt;Inputs!$G$18,0,(U5*Inputs!$Q$17)/100000)</f>
        <v>195333.93894857142</v>
      </c>
      <c r="V6" s="35">
        <f>IF(V$2&gt;Inputs!$G$18,0,(V5*Inputs!$Q$17)/100000)</f>
        <v>195333.93894857142</v>
      </c>
      <c r="W6" s="35">
        <f>IF(W$2&gt;Inputs!$G$18,0,(W5*Inputs!$Q$17)/100000)</f>
        <v>195333.93894857142</v>
      </c>
      <c r="X6" s="35">
        <f>IF(X$2&gt;Inputs!$G$18,0,(X5*Inputs!$Q$17)/100000)</f>
        <v>195333.93894857142</v>
      </c>
      <c r="Y6" s="35">
        <f>IF(Y$2&gt;Inputs!$G$18,0,(Y5*Inputs!$Q$17)/100000)</f>
        <v>195333.93894857142</v>
      </c>
      <c r="Z6" s="35">
        <f>IF(Z$2&gt;Inputs!$G$18,0,(Z5*Inputs!$Q$17)/100000)</f>
        <v>195333.93894857142</v>
      </c>
      <c r="AA6" s="35">
        <f>IF(AA$2&gt;Inputs!$G$18,0,(AA5*Inputs!$Q$17)/100000)</f>
        <v>0</v>
      </c>
      <c r="AB6" s="35">
        <f>IF(AB$2&gt;Inputs!$G$18,0,(AB5*Inputs!$Q$17)/100000)</f>
        <v>0</v>
      </c>
      <c r="AC6" s="35">
        <f>IF(AC$2&gt;Inputs!$G$18,0,(AC5*Inputs!$Q$17)/100000)</f>
        <v>0</v>
      </c>
      <c r="AD6" s="35">
        <f>IF(AD$2&gt;Inputs!$G$18,0,(AD5*Inputs!$Q$17)/100000)</f>
        <v>0</v>
      </c>
      <c r="AE6" s="35">
        <f>IF(AE$2&gt;Inputs!$G$18,0,(AE5*Inputs!$Q$17)/100000)</f>
        <v>0</v>
      </c>
      <c r="AF6" s="35">
        <f>IF(AF$2&gt;Inputs!$G$18,0,(AF5*Inputs!$Q$17)/100000)</f>
        <v>0</v>
      </c>
      <c r="AG6" s="35">
        <f>IF(AG$2&gt;Inputs!$G$18,0,(AG5*Inputs!$Q$17)/100000)</f>
        <v>0</v>
      </c>
      <c r="AH6" s="35">
        <f>IF(AH$2&gt;Inputs!$G$18,0,(AH5*Inputs!$Q$17)/100000)</f>
        <v>0</v>
      </c>
      <c r="AI6" s="35">
        <f>IF(AI$2&gt;Inputs!$G$18,0,(AI5*Inputs!$Q$17)/100000)</f>
        <v>0</v>
      </c>
      <c r="AJ6" s="35">
        <f>IF(AJ$2&gt;Inputs!$G$18,0,(AJ5*Inputs!$Q$17)/100000)</f>
        <v>0</v>
      </c>
    </row>
    <row r="7" spans="2:36" s="31" customFormat="1" ht="16">
      <c r="B7" s="31" t="s">
        <v>465</v>
      </c>
      <c r="E7" s="76"/>
      <c r="F7" s="747"/>
      <c r="G7" s="320">
        <v>1</v>
      </c>
      <c r="H7" s="753">
        <f>G7*(1+Inputs!$Q$14)</f>
        <v>1.01</v>
      </c>
      <c r="I7" s="753">
        <f>H7*(1+Inputs!$Q$14)</f>
        <v>1.0201</v>
      </c>
      <c r="J7" s="753">
        <f>I7*(1+Inputs!$Q$14)</f>
        <v>1.0303009999999999</v>
      </c>
      <c r="K7" s="753">
        <f>J7*(1+Inputs!$Q$14)</f>
        <v>1.04060401</v>
      </c>
      <c r="L7" s="753">
        <f>K7*(1+Inputs!$Q$14)</f>
        <v>1.0510100500999999</v>
      </c>
      <c r="M7" s="753">
        <f>L7*(1+Inputs!$Q$14)</f>
        <v>1.0615201506009999</v>
      </c>
      <c r="N7" s="753">
        <f>M7*(1+Inputs!$Q$14)</f>
        <v>1.0721353521070098</v>
      </c>
      <c r="O7" s="753">
        <f>N7*(1+Inputs!$Q$14)</f>
        <v>1.08285670562808</v>
      </c>
      <c r="P7" s="753">
        <f>O7*(1+Inputs!$Q$14)</f>
        <v>1.0936852726843609</v>
      </c>
      <c r="Q7" s="753">
        <f>P7*(1+Inputs!$Q$14)</f>
        <v>1.1046221254112045</v>
      </c>
      <c r="R7" s="753">
        <f>Q7*(1+Inputs!$Q$14)</f>
        <v>1.1156683466653166</v>
      </c>
      <c r="S7" s="753">
        <f>R7*(1+Inputs!$Q$14)</f>
        <v>1.1268250301319698</v>
      </c>
      <c r="T7" s="753">
        <f>S7*(1+Inputs!$Q$14)</f>
        <v>1.1380932804332895</v>
      </c>
      <c r="U7" s="753">
        <f>T7*(1+Inputs!$Q$14)</f>
        <v>1.1494742132376223</v>
      </c>
      <c r="V7" s="753">
        <f>U7*(1+Inputs!$Q$14)</f>
        <v>1.1609689553699987</v>
      </c>
      <c r="W7" s="753">
        <f>V7*(1+Inputs!$Q$14)</f>
        <v>1.1725786449236986</v>
      </c>
      <c r="X7" s="753">
        <f>W7*(1+Inputs!$Q$14)</f>
        <v>1.1843044313729356</v>
      </c>
      <c r="Y7" s="753">
        <f>X7*(1+Inputs!$Q$14)</f>
        <v>1.196147475686665</v>
      </c>
      <c r="Z7" s="753">
        <f>Y7*(1+Inputs!$Q$14)</f>
        <v>1.2081089504435316</v>
      </c>
      <c r="AA7" s="753">
        <f>Z7*(1+Inputs!$Q$14)</f>
        <v>1.220190039947967</v>
      </c>
      <c r="AB7" s="753">
        <f>AA7*(1+Inputs!$Q$14)</f>
        <v>1.2323919403474468</v>
      </c>
      <c r="AC7" s="753">
        <f>AB7*(1+Inputs!$Q$14)</f>
        <v>1.2447158597509214</v>
      </c>
      <c r="AD7" s="753">
        <f>AC7*(1+Inputs!$Q$14)</f>
        <v>1.2571630183484306</v>
      </c>
      <c r="AE7" s="753">
        <f>AD7*(1+Inputs!$Q$14)</f>
        <v>1.269734648531915</v>
      </c>
      <c r="AF7" s="753">
        <f>AE7*(1+Inputs!$Q$14)</f>
        <v>1.282431995017234</v>
      </c>
      <c r="AG7" s="753">
        <f>AF7*(1+Inputs!$Q$14)</f>
        <v>1.2952563149674063</v>
      </c>
      <c r="AH7" s="753">
        <f>AG7*(1+Inputs!$Q$14)</f>
        <v>1.3082088781170804</v>
      </c>
      <c r="AI7" s="753">
        <f>AH7*(1+Inputs!$Q$14)</f>
        <v>1.3212909668982513</v>
      </c>
      <c r="AJ7" s="753">
        <f>AI7*(1+Inputs!$Q$14)</f>
        <v>1.3345038765672339</v>
      </c>
    </row>
    <row r="8" spans="2:36" s="29" customFormat="1" ht="16">
      <c r="B8" s="29" t="s">
        <v>474</v>
      </c>
      <c r="C8" s="34"/>
      <c r="D8" s="34"/>
      <c r="G8" s="320">
        <v>1</v>
      </c>
      <c r="H8" s="753">
        <f>G8*(1+Inputs!$Q$19)</f>
        <v>1.02</v>
      </c>
      <c r="I8" s="753">
        <f>H8*(1+Inputs!$Q$19)</f>
        <v>1.0404</v>
      </c>
      <c r="J8" s="753">
        <f>I8*(1+Inputs!$Q$19)</f>
        <v>1.0612079999999999</v>
      </c>
      <c r="K8" s="753">
        <f>J8*(1+Inputs!$Q$19)</f>
        <v>1.08243216</v>
      </c>
      <c r="L8" s="753">
        <f>K8*(1+Inputs!$Q$19)</f>
        <v>1.1040808032</v>
      </c>
      <c r="M8" s="753">
        <f>L8*(1+Inputs!$Q$19)</f>
        <v>1.1261624192640001</v>
      </c>
      <c r="N8" s="753">
        <f>M8*(1+Inputs!$Q$19)</f>
        <v>1.14868566764928</v>
      </c>
      <c r="O8" s="753">
        <f>N8*(1+Inputs!$Q$19)</f>
        <v>1.1716593810022657</v>
      </c>
      <c r="P8" s="753">
        <f>O8*(1+Inputs!$Q$19)</f>
        <v>1.1950925686223111</v>
      </c>
      <c r="Q8" s="753">
        <f>P8*(1+Inputs!$Q$19)</f>
        <v>1.2189944199947573</v>
      </c>
      <c r="R8" s="753">
        <f>Q8*(1+Inputs!$Q$19)</f>
        <v>1.2433743083946525</v>
      </c>
      <c r="S8" s="753">
        <f>R8*(1+Inputs!$Q$19)</f>
        <v>1.2682417945625455</v>
      </c>
      <c r="T8" s="753">
        <f>S8*(1+Inputs!$Q$19)</f>
        <v>1.2936066304537963</v>
      </c>
      <c r="U8" s="753">
        <f>T8*(1+Inputs!$Q$19)</f>
        <v>1.3194787630628724</v>
      </c>
      <c r="V8" s="753">
        <f>U8*(1+Inputs!$Q$19)</f>
        <v>1.3458683383241299</v>
      </c>
      <c r="W8" s="753">
        <f>V8*(1+Inputs!$Q$19)</f>
        <v>1.3727857050906125</v>
      </c>
      <c r="X8" s="753">
        <f>W8*(1+Inputs!$Q$19)</f>
        <v>1.4002414191924248</v>
      </c>
      <c r="Y8" s="753">
        <f>X8*(1+Inputs!$Q$19)</f>
        <v>1.4282462475762734</v>
      </c>
      <c r="Z8" s="753">
        <f>Y8*(1+Inputs!$Q$19)</f>
        <v>1.4568111725277988</v>
      </c>
      <c r="AA8" s="753">
        <f>Z8*(1+Inputs!$Q$19)</f>
        <v>1.4859473959783549</v>
      </c>
      <c r="AB8" s="753">
        <f>AA8*(1+Inputs!$Q$19)</f>
        <v>1.5156663438979221</v>
      </c>
      <c r="AC8" s="753">
        <f>AB8*(1+Inputs!$Q$19)</f>
        <v>1.5459796707758806</v>
      </c>
      <c r="AD8" s="753">
        <f>AC8*(1+Inputs!$Q$19)</f>
        <v>1.5768992641913981</v>
      </c>
      <c r="AE8" s="753">
        <f>AD8*(1+Inputs!$Q$19)</f>
        <v>1.6084372494752261</v>
      </c>
      <c r="AF8" s="753">
        <f>AE8*(1+Inputs!$Q$19)</f>
        <v>1.6406059944647307</v>
      </c>
      <c r="AG8" s="753">
        <f>AF8*(1+Inputs!$Q$19)</f>
        <v>1.6734181143540252</v>
      </c>
      <c r="AH8" s="753">
        <f>AG8*(1+Inputs!$Q$19)</f>
        <v>1.7068864766411058</v>
      </c>
      <c r="AI8" s="753">
        <f>AH8*(1+Inputs!$Q$19)</f>
        <v>1.7410242061739281</v>
      </c>
      <c r="AJ8" s="753">
        <f>AI8*(1+Inputs!$Q$19)</f>
        <v>1.7758446902974065</v>
      </c>
    </row>
    <row r="9" spans="2:36" s="29" customFormat="1" ht="16">
      <c r="B9" s="34"/>
      <c r="C9" s="34"/>
      <c r="D9" s="34"/>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row>
    <row r="10" spans="2:36" s="29" customFormat="1" ht="16">
      <c r="B10" s="34" t="s">
        <v>102</v>
      </c>
      <c r="C10" s="34"/>
      <c r="D10" s="34"/>
      <c r="E10" s="79"/>
    </row>
    <row r="11" spans="2:36" s="29" customFormat="1" ht="16">
      <c r="B11" s="29" t="s">
        <v>104</v>
      </c>
      <c r="E11" s="79"/>
      <c r="G11" s="320">
        <v>1</v>
      </c>
      <c r="H11" s="33">
        <f>G11*(1+(Inputs!$Q$24*Inputs!$Q$23))</f>
        <v>1</v>
      </c>
      <c r="I11" s="33">
        <f>H11*(1+(Inputs!$Q$24*Inputs!$Q$23))</f>
        <v>1</v>
      </c>
      <c r="J11" s="33">
        <f>I11*(1+(Inputs!$Q$24*Inputs!$Q$23))</f>
        <v>1</v>
      </c>
      <c r="K11" s="33">
        <f>J11*(1+(Inputs!$Q$24*Inputs!$Q$23))</f>
        <v>1</v>
      </c>
      <c r="L11" s="33">
        <f>K11*(1+(Inputs!$Q$24*Inputs!$Q$23))</f>
        <v>1</v>
      </c>
      <c r="M11" s="33">
        <f>L11*(1+(Inputs!$Q$24*Inputs!$Q$23))</f>
        <v>1</v>
      </c>
      <c r="N11" s="33">
        <f>M11*(1+(Inputs!$Q$24*Inputs!$Q$23))</f>
        <v>1</v>
      </c>
      <c r="O11" s="33">
        <f>N11*(1+(Inputs!$Q$24*Inputs!$Q$23))</f>
        <v>1</v>
      </c>
      <c r="P11" s="33">
        <f>O11*(1+(Inputs!$Q$24*Inputs!$Q$23))</f>
        <v>1</v>
      </c>
      <c r="Q11" s="33">
        <f>P11*(1+(Inputs!$Q$24*Inputs!$Q$23))</f>
        <v>1</v>
      </c>
      <c r="R11" s="33">
        <f>Q11*(1+(Inputs!$Q$24*Inputs!$Q$23))</f>
        <v>1</v>
      </c>
      <c r="S11" s="33">
        <f>R11*(1+(Inputs!$Q$24*Inputs!$Q$23))</f>
        <v>1</v>
      </c>
      <c r="T11" s="33">
        <f>S11*(1+(Inputs!$Q$24*Inputs!$Q$23))</f>
        <v>1</v>
      </c>
      <c r="U11" s="33">
        <f>T11*(1+(Inputs!$Q$24*Inputs!$Q$23))</f>
        <v>1</v>
      </c>
      <c r="V11" s="33">
        <f>U11*(1+(Inputs!$Q$24*Inputs!$Q$23))</f>
        <v>1</v>
      </c>
      <c r="W11" s="33">
        <f>V11*(1+(Inputs!$Q$24*Inputs!$Q$23))</f>
        <v>1</v>
      </c>
      <c r="X11" s="33">
        <f>W11*(1+(Inputs!$Q$24*Inputs!$Q$23))</f>
        <v>1</v>
      </c>
      <c r="Y11" s="33">
        <f>X11*(1+(Inputs!$Q$24*Inputs!$Q$23))</f>
        <v>1</v>
      </c>
      <c r="Z11" s="33">
        <f>Y11*(1+(Inputs!$Q$24*Inputs!$Q$23))</f>
        <v>1</v>
      </c>
      <c r="AA11" s="33">
        <f>Z11*(1+(Inputs!$Q$24*Inputs!$Q$23))</f>
        <v>1</v>
      </c>
      <c r="AB11" s="33">
        <f>AA11*(1+(Inputs!$Q$24*Inputs!$Q$23))</f>
        <v>1</v>
      </c>
      <c r="AC11" s="33">
        <f>AB11*(1+(Inputs!$Q$24*Inputs!$Q$23))</f>
        <v>1</v>
      </c>
      <c r="AD11" s="33">
        <f>AC11*(1+(Inputs!$Q$24*Inputs!$Q$23))</f>
        <v>1</v>
      </c>
      <c r="AE11" s="33">
        <f>AD11*(1+(Inputs!$Q$24*Inputs!$Q$23))</f>
        <v>1</v>
      </c>
      <c r="AF11" s="33">
        <f>AE11*(1+(Inputs!$Q$24*Inputs!$Q$23))</f>
        <v>1</v>
      </c>
      <c r="AG11" s="33">
        <f>AF11*(1+(Inputs!$Q$24*Inputs!$Q$23))</f>
        <v>1</v>
      </c>
      <c r="AH11" s="33">
        <f>AG11*(1+(Inputs!$Q$24*Inputs!$Q$23))</f>
        <v>1</v>
      </c>
      <c r="AI11" s="33">
        <f>AH11*(1+(Inputs!$Q$24*Inputs!$Q$23))</f>
        <v>1</v>
      </c>
      <c r="AJ11" s="33">
        <f>AI11*(1+(Inputs!$Q$24*Inputs!$Q$23))</f>
        <v>1</v>
      </c>
    </row>
    <row r="12" spans="2:36" s="29" customFormat="1" ht="16">
      <c r="B12" s="29" t="s">
        <v>145</v>
      </c>
      <c r="E12" s="79"/>
      <c r="G12" s="320">
        <v>1</v>
      </c>
      <c r="H12" s="33">
        <f>G12*(1+Inputs!$Q$42)</f>
        <v>1.02</v>
      </c>
      <c r="I12" s="33">
        <f>H12*(1+Inputs!$Q$42)</f>
        <v>1.0404</v>
      </c>
      <c r="J12" s="33">
        <f>I12*(1+Inputs!$Q$42)</f>
        <v>1.0612079999999999</v>
      </c>
      <c r="K12" s="33">
        <f>J12*(1+Inputs!$Q$42)</f>
        <v>1.08243216</v>
      </c>
      <c r="L12" s="33">
        <f>K12*(1+Inputs!$Q$42)</f>
        <v>1.1040808032</v>
      </c>
      <c r="M12" s="33">
        <f>L12*(1+Inputs!$Q$42)</f>
        <v>1.1261624192640001</v>
      </c>
      <c r="N12" s="33">
        <f>M12*(1+Inputs!$Q$42)</f>
        <v>1.14868566764928</v>
      </c>
      <c r="O12" s="33">
        <f>N12*(1+Inputs!$Q$42)</f>
        <v>1.1716593810022657</v>
      </c>
      <c r="P12" s="33">
        <f>O12*(1+Inputs!$Q$42)</f>
        <v>1.1950925686223111</v>
      </c>
      <c r="Q12" s="33">
        <f>P12*(1+Inputs!$Q$42)</f>
        <v>1.2189944199947573</v>
      </c>
      <c r="R12" s="33">
        <f>Q12*(1+Inputs!$Q$42)</f>
        <v>1.2433743083946525</v>
      </c>
      <c r="S12" s="33">
        <f>R12*(1+Inputs!$Q$42)</f>
        <v>1.2682417945625455</v>
      </c>
      <c r="T12" s="33">
        <f>S12*(1+Inputs!$Q$42)</f>
        <v>1.2936066304537963</v>
      </c>
      <c r="U12" s="33">
        <f>T12*(1+Inputs!$Q$42)</f>
        <v>1.3194787630628724</v>
      </c>
      <c r="V12" s="33">
        <f>U12*(1+Inputs!$Q$42)</f>
        <v>1.3458683383241299</v>
      </c>
      <c r="W12" s="33">
        <f>V12*(1+Inputs!$Q$42)</f>
        <v>1.3727857050906125</v>
      </c>
      <c r="X12" s="33">
        <f>W12*(1+Inputs!$Q$42)</f>
        <v>1.4002414191924248</v>
      </c>
      <c r="Y12" s="33">
        <f>X12*(1+Inputs!$Q$42)</f>
        <v>1.4282462475762734</v>
      </c>
      <c r="Z12" s="33">
        <f>Y12*(1+Inputs!$Q$42)</f>
        <v>1.4568111725277988</v>
      </c>
      <c r="AA12" s="33">
        <f>Z12*(1+Inputs!$Q$42)</f>
        <v>1.4859473959783549</v>
      </c>
      <c r="AB12" s="33">
        <f>AA12*(1+Inputs!$Q$42)</f>
        <v>1.5156663438979221</v>
      </c>
      <c r="AC12" s="33">
        <f>AB12*(1+Inputs!$Q$42)</f>
        <v>1.5459796707758806</v>
      </c>
      <c r="AD12" s="33">
        <f>AC12*(1+Inputs!$Q$42)</f>
        <v>1.5768992641913981</v>
      </c>
      <c r="AE12" s="33">
        <f>AD12*(1+Inputs!$Q$42)</f>
        <v>1.6084372494752261</v>
      </c>
      <c r="AF12" s="33">
        <f>AE12*(1+Inputs!$Q$42)</f>
        <v>1.6406059944647307</v>
      </c>
      <c r="AG12" s="33">
        <f>AF12*(1+Inputs!$Q$42)</f>
        <v>1.6734181143540252</v>
      </c>
      <c r="AH12" s="33">
        <f>AG12*(1+Inputs!$Q$42)</f>
        <v>1.7068864766411058</v>
      </c>
      <c r="AI12" s="33">
        <f>AH12*(1+Inputs!$Q$42)</f>
        <v>1.7410242061739281</v>
      </c>
      <c r="AJ12" s="33">
        <f>AI12*(1+Inputs!$Q$42)</f>
        <v>1.7758446902974065</v>
      </c>
    </row>
    <row r="13" spans="2:36" s="29" customFormat="1" ht="16">
      <c r="B13" s="29" t="s">
        <v>146</v>
      </c>
      <c r="E13" s="79"/>
      <c r="G13" s="320">
        <v>1</v>
      </c>
      <c r="H13" s="33">
        <f>G13*(1+Inputs!$Q$58)</f>
        <v>1.02</v>
      </c>
      <c r="I13" s="33">
        <f>H13*(1+Inputs!$Q$58)</f>
        <v>1.0404</v>
      </c>
      <c r="J13" s="33">
        <f>I13*(1+Inputs!$Q$58)</f>
        <v>1.0612079999999999</v>
      </c>
      <c r="K13" s="33">
        <f>J13*(1+Inputs!$Q$58)</f>
        <v>1.08243216</v>
      </c>
      <c r="L13" s="33">
        <f>K13*(1+Inputs!$Q$58)</f>
        <v>1.1040808032</v>
      </c>
      <c r="M13" s="33">
        <f>L13*(1+Inputs!$Q$58)</f>
        <v>1.1261624192640001</v>
      </c>
      <c r="N13" s="33">
        <f>M13*(1+Inputs!$Q$58)</f>
        <v>1.14868566764928</v>
      </c>
      <c r="O13" s="33">
        <f>N13*(1+Inputs!$Q$58)</f>
        <v>1.1716593810022657</v>
      </c>
      <c r="P13" s="33">
        <f>O13*(1+Inputs!$Q$58)</f>
        <v>1.1950925686223111</v>
      </c>
      <c r="Q13" s="33">
        <f>P13*(1+Inputs!$Q$58)</f>
        <v>1.2189944199947573</v>
      </c>
      <c r="R13" s="33">
        <f>Q13*(1+Inputs!$Q$58)</f>
        <v>1.2433743083946525</v>
      </c>
      <c r="S13" s="33">
        <f>R13*(1+Inputs!$Q$58)</f>
        <v>1.2682417945625455</v>
      </c>
      <c r="T13" s="33">
        <f>S13*(1+Inputs!$Q$58)</f>
        <v>1.2936066304537963</v>
      </c>
      <c r="U13" s="33">
        <f>T13*(1+Inputs!$Q$58)</f>
        <v>1.3194787630628724</v>
      </c>
      <c r="V13" s="33">
        <f>U13*(1+Inputs!$Q$58)</f>
        <v>1.3458683383241299</v>
      </c>
      <c r="W13" s="33">
        <f>V13*(1+Inputs!$Q$58)</f>
        <v>1.3727857050906125</v>
      </c>
      <c r="X13" s="33">
        <f>W13*(1+Inputs!$Q$58)</f>
        <v>1.4002414191924248</v>
      </c>
      <c r="Y13" s="33">
        <f>X13*(1+Inputs!$Q$58)</f>
        <v>1.4282462475762734</v>
      </c>
      <c r="Z13" s="33">
        <f>Y13*(1+Inputs!$Q$58)</f>
        <v>1.4568111725277988</v>
      </c>
      <c r="AA13" s="33">
        <f>Z13*(1+Inputs!$Q$58)</f>
        <v>1.4859473959783549</v>
      </c>
      <c r="AB13" s="33">
        <f>AA13*(1+Inputs!$Q$58)</f>
        <v>1.5156663438979221</v>
      </c>
      <c r="AC13" s="33">
        <f>AB13*(1+Inputs!$Q$58)</f>
        <v>1.5459796707758806</v>
      </c>
      <c r="AD13" s="33">
        <f>AC13*(1+Inputs!$Q$58)</f>
        <v>1.5768992641913981</v>
      </c>
      <c r="AE13" s="33">
        <f>AD13*(1+Inputs!$Q$58)</f>
        <v>1.6084372494752261</v>
      </c>
      <c r="AF13" s="33">
        <f>AE13*(1+Inputs!$Q$58)</f>
        <v>1.6406059944647307</v>
      </c>
      <c r="AG13" s="33">
        <f>AF13*(1+Inputs!$Q$58)</f>
        <v>1.6734181143540252</v>
      </c>
      <c r="AH13" s="33">
        <f>AG13*(1+Inputs!$Q$58)</f>
        <v>1.7068864766411058</v>
      </c>
      <c r="AI13" s="33">
        <f>AH13*(1+Inputs!$Q$58)</f>
        <v>1.7410242061739281</v>
      </c>
      <c r="AJ13" s="33">
        <f>AI13*(1+Inputs!$Q$58)</f>
        <v>1.7758446902974065</v>
      </c>
    </row>
    <row r="14" spans="2:36" s="29" customFormat="1" ht="16">
      <c r="E14" s="79"/>
      <c r="F14" s="79"/>
      <c r="G14" s="88"/>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row>
    <row r="15" spans="2:36" s="29" customFormat="1" ht="16">
      <c r="B15" s="36" t="s">
        <v>257</v>
      </c>
      <c r="C15" s="36"/>
      <c r="D15" s="36"/>
      <c r="E15" s="79" t="s">
        <v>52</v>
      </c>
      <c r="F15" s="384">
        <f>1-F16</f>
        <v>1</v>
      </c>
      <c r="G15" s="90">
        <f>$G$84*$F15</f>
        <v>11.349999999999998</v>
      </c>
      <c r="H15" s="90">
        <f>IF(H2&gt;Inputs!$Q$22,0,G15)</f>
        <v>11.349999999999998</v>
      </c>
      <c r="I15" s="90">
        <f>IF(I2&gt;Inputs!$Q$22,0,H15)</f>
        <v>11.349999999999998</v>
      </c>
      <c r="J15" s="90">
        <f>IF(J2&gt;Inputs!$Q$22,0,I15)</f>
        <v>11.349999999999998</v>
      </c>
      <c r="K15" s="90">
        <f>IF(K2&gt;Inputs!$Q$22,0,J15)</f>
        <v>11.349999999999998</v>
      </c>
      <c r="L15" s="90">
        <f>IF(L2&gt;Inputs!$Q$22,0,K15)</f>
        <v>11.349999999999998</v>
      </c>
      <c r="M15" s="90">
        <f>IF(M2&gt;Inputs!$Q$22,0,L15)</f>
        <v>11.349999999999998</v>
      </c>
      <c r="N15" s="90">
        <f>IF(N2&gt;Inputs!$Q$22,0,M15)</f>
        <v>11.349999999999998</v>
      </c>
      <c r="O15" s="90">
        <f>IF(O2&gt;Inputs!$Q$22,0,N15)</f>
        <v>11.349999999999998</v>
      </c>
      <c r="P15" s="90">
        <f>IF(P2&gt;Inputs!$Q$22,0,O15)</f>
        <v>11.349999999999998</v>
      </c>
      <c r="Q15" s="90">
        <f>IF(Q2&gt;Inputs!$Q$22,0,P15)</f>
        <v>11.349999999999998</v>
      </c>
      <c r="R15" s="90">
        <f>IF(R2&gt;Inputs!$Q$22,0,Q15)</f>
        <v>11.349999999999998</v>
      </c>
      <c r="S15" s="90">
        <f>IF(S2&gt;Inputs!$Q$22,0,R15)</f>
        <v>11.349999999999998</v>
      </c>
      <c r="T15" s="90">
        <f>IF(T2&gt;Inputs!$Q$22,0,S15)</f>
        <v>11.349999999999998</v>
      </c>
      <c r="U15" s="90">
        <f>IF(U2&gt;Inputs!$Q$22,0,T15)</f>
        <v>11.349999999999998</v>
      </c>
      <c r="V15" s="90">
        <f>IF(V2&gt;Inputs!$Q$22,0,U15)</f>
        <v>11.349999999999998</v>
      </c>
      <c r="W15" s="90">
        <f>IF(W2&gt;Inputs!$Q$22,0,V15)</f>
        <v>11.349999999999998</v>
      </c>
      <c r="X15" s="90">
        <f>IF(X2&gt;Inputs!$Q$22,0,W15)</f>
        <v>11.349999999999998</v>
      </c>
      <c r="Y15" s="90">
        <f>IF(Y2&gt;Inputs!$Q$22,0,X15)</f>
        <v>11.349999999999998</v>
      </c>
      <c r="Z15" s="90">
        <f>IF(Z2&gt;Inputs!$Q$22,0,Y15)</f>
        <v>11.349999999999998</v>
      </c>
      <c r="AA15" s="90">
        <f>IF(AA2&gt;Inputs!$Q$22,0,Z15)</f>
        <v>0</v>
      </c>
      <c r="AB15" s="90">
        <f>IF(AB2&gt;Inputs!$Q$22,0,AA15)</f>
        <v>0</v>
      </c>
      <c r="AC15" s="90">
        <f>IF(AC2&gt;Inputs!$Q$22,0,AB15)</f>
        <v>0</v>
      </c>
      <c r="AD15" s="90">
        <f>IF(AD2&gt;Inputs!$Q$22,0,AC15)</f>
        <v>0</v>
      </c>
      <c r="AE15" s="90">
        <f>IF(AE2&gt;Inputs!$Q$22,0,AD15)</f>
        <v>0</v>
      </c>
      <c r="AF15" s="90">
        <f>IF(AF2&gt;Inputs!$Q$22,0,AE15)</f>
        <v>0</v>
      </c>
      <c r="AG15" s="90">
        <f>IF(AG2&gt;Inputs!$Q$22,0,AF15)</f>
        <v>0</v>
      </c>
      <c r="AH15" s="90">
        <f>IF(AH2&gt;Inputs!$Q$22,0,AG15)</f>
        <v>0</v>
      </c>
      <c r="AI15" s="90">
        <f>IF(AI2&gt;Inputs!$Q$22,0,AH15)</f>
        <v>0</v>
      </c>
      <c r="AJ15" s="90">
        <f>IF(AJ2&gt;Inputs!$Q$22,0,AI15)</f>
        <v>0</v>
      </c>
    </row>
    <row r="16" spans="2:36" s="29" customFormat="1" ht="16">
      <c r="B16" s="385" t="s">
        <v>259</v>
      </c>
      <c r="C16" s="385"/>
      <c r="D16" s="385"/>
      <c r="E16" s="79" t="s">
        <v>52</v>
      </c>
      <c r="F16" s="383">
        <f>Inputs!Q23</f>
        <v>0</v>
      </c>
      <c r="G16" s="386">
        <f>$G$84*$F16</f>
        <v>0</v>
      </c>
      <c r="H16" s="386">
        <f>IF(H2&gt;Inputs!$Q$22,0,G16*(1+Inputs!$Q$24))</f>
        <v>0</v>
      </c>
      <c r="I16" s="386">
        <f>IF(I2&gt;Inputs!$Q$22,0,H16*(1+Inputs!$Q$24))</f>
        <v>0</v>
      </c>
      <c r="J16" s="386">
        <f>IF(J2&gt;Inputs!$Q$22,0,I16*(1+Inputs!$Q$24))</f>
        <v>0</v>
      </c>
      <c r="K16" s="386">
        <f>IF(K2&gt;Inputs!$Q$22,0,J16*(1+Inputs!$Q$24))</f>
        <v>0</v>
      </c>
      <c r="L16" s="386">
        <f>IF(L2&gt;Inputs!$Q$22,0,K16*(1+Inputs!$Q$24))</f>
        <v>0</v>
      </c>
      <c r="M16" s="386">
        <f>IF(M2&gt;Inputs!$Q$22,0,L16*(1+Inputs!$Q$24))</f>
        <v>0</v>
      </c>
      <c r="N16" s="386">
        <f>IF(N2&gt;Inputs!$Q$22,0,M16*(1+Inputs!$Q$24))</f>
        <v>0</v>
      </c>
      <c r="O16" s="386">
        <f>IF(O2&gt;Inputs!$Q$22,0,N16*(1+Inputs!$Q$24))</f>
        <v>0</v>
      </c>
      <c r="P16" s="386">
        <f>IF(P2&gt;Inputs!$Q$22,0,O16*(1+Inputs!$Q$24))</f>
        <v>0</v>
      </c>
      <c r="Q16" s="386">
        <f>IF(Q2&gt;Inputs!$Q$22,0,P16*(1+Inputs!$Q$24))</f>
        <v>0</v>
      </c>
      <c r="R16" s="386">
        <f>IF(R2&gt;Inputs!$Q$22,0,Q16*(1+Inputs!$Q$24))</f>
        <v>0</v>
      </c>
      <c r="S16" s="386">
        <f>IF(S2&gt;Inputs!$Q$22,0,R16*(1+Inputs!$Q$24))</f>
        <v>0</v>
      </c>
      <c r="T16" s="386">
        <f>IF(T2&gt;Inputs!$Q$22,0,S16*(1+Inputs!$Q$24))</f>
        <v>0</v>
      </c>
      <c r="U16" s="386">
        <f>IF(U2&gt;Inputs!$Q$22,0,T16*(1+Inputs!$Q$24))</f>
        <v>0</v>
      </c>
      <c r="V16" s="386">
        <f>IF(V2&gt;Inputs!$Q$22,0,U16*(1+Inputs!$Q$24))</f>
        <v>0</v>
      </c>
      <c r="W16" s="386">
        <f>IF(W2&gt;Inputs!$Q$22,0,V16*(1+Inputs!$Q$24))</f>
        <v>0</v>
      </c>
      <c r="X16" s="386">
        <f>IF(X2&gt;Inputs!$Q$22,0,W16*(1+Inputs!$Q$24))</f>
        <v>0</v>
      </c>
      <c r="Y16" s="386">
        <f>IF(Y2&gt;Inputs!$Q$22,0,X16*(1+Inputs!$Q$24))</f>
        <v>0</v>
      </c>
      <c r="Z16" s="386">
        <f>IF(Z2&gt;Inputs!$Q$22,0,Y16*(1+Inputs!$Q$24))</f>
        <v>0</v>
      </c>
      <c r="AA16" s="386">
        <f>IF(AA2&gt;Inputs!$Q$22,0,Z16*(1+Inputs!$Q$24))</f>
        <v>0</v>
      </c>
      <c r="AB16" s="386">
        <f>IF(AB2&gt;Inputs!$Q$22,0,AA16*(1+Inputs!$Q$24))</f>
        <v>0</v>
      </c>
      <c r="AC16" s="386">
        <f>IF(AC2&gt;Inputs!$Q$22,0,AB16*(1+Inputs!$Q$24))</f>
        <v>0</v>
      </c>
      <c r="AD16" s="386">
        <f>IF(AD2&gt;Inputs!$Q$22,0,AC16*(1+Inputs!$Q$24))</f>
        <v>0</v>
      </c>
      <c r="AE16" s="386">
        <f>IF(AE2&gt;Inputs!$Q$22,0,AD16*(1+Inputs!$Q$24))</f>
        <v>0</v>
      </c>
      <c r="AF16" s="386">
        <f>IF(AF2&gt;Inputs!$Q$22,0,AE16*(1+Inputs!$Q$24))</f>
        <v>0</v>
      </c>
      <c r="AG16" s="386">
        <f>IF(AG2&gt;Inputs!$Q$22,0,AF16*(1+Inputs!$Q$24))</f>
        <v>0</v>
      </c>
      <c r="AH16" s="386">
        <f>IF(AH2&gt;Inputs!$Q$22,0,AG16*(1+Inputs!$Q$24))</f>
        <v>0</v>
      </c>
      <c r="AI16" s="386">
        <f>IF(AI2&gt;Inputs!$Q$22,0,AH16*(1+Inputs!$Q$24))</f>
        <v>0</v>
      </c>
      <c r="AJ16" s="386">
        <f>IF(AJ2&gt;Inputs!$Q$22,0,AI16*(1+Inputs!$Q$24))</f>
        <v>0</v>
      </c>
    </row>
    <row r="17" spans="2:36" s="29" customFormat="1" ht="16">
      <c r="B17" s="36" t="s">
        <v>258</v>
      </c>
      <c r="C17" s="36"/>
      <c r="D17" s="36"/>
      <c r="E17" s="79" t="s">
        <v>52</v>
      </c>
      <c r="F17" s="92"/>
      <c r="G17" s="90">
        <f>SUM(G15:G16)</f>
        <v>11.349999999999998</v>
      </c>
      <c r="H17" s="90">
        <f t="shared" ref="H17:AJ17" si="0">SUM(H15:H16)</f>
        <v>11.349999999999998</v>
      </c>
      <c r="I17" s="90">
        <f t="shared" si="0"/>
        <v>11.349999999999998</v>
      </c>
      <c r="J17" s="90">
        <f t="shared" si="0"/>
        <v>11.349999999999998</v>
      </c>
      <c r="K17" s="90">
        <f t="shared" si="0"/>
        <v>11.349999999999998</v>
      </c>
      <c r="L17" s="90">
        <f t="shared" si="0"/>
        <v>11.349999999999998</v>
      </c>
      <c r="M17" s="90">
        <f t="shared" si="0"/>
        <v>11.349999999999998</v>
      </c>
      <c r="N17" s="90">
        <f t="shared" si="0"/>
        <v>11.349999999999998</v>
      </c>
      <c r="O17" s="90">
        <f t="shared" si="0"/>
        <v>11.349999999999998</v>
      </c>
      <c r="P17" s="90">
        <f t="shared" si="0"/>
        <v>11.349999999999998</v>
      </c>
      <c r="Q17" s="90">
        <f t="shared" si="0"/>
        <v>11.349999999999998</v>
      </c>
      <c r="R17" s="90">
        <f t="shared" si="0"/>
        <v>11.349999999999998</v>
      </c>
      <c r="S17" s="90">
        <f t="shared" si="0"/>
        <v>11.349999999999998</v>
      </c>
      <c r="T17" s="90">
        <f t="shared" si="0"/>
        <v>11.349999999999998</v>
      </c>
      <c r="U17" s="90">
        <f t="shared" si="0"/>
        <v>11.349999999999998</v>
      </c>
      <c r="V17" s="90">
        <f t="shared" si="0"/>
        <v>11.349999999999998</v>
      </c>
      <c r="W17" s="90">
        <f t="shared" si="0"/>
        <v>11.349999999999998</v>
      </c>
      <c r="X17" s="90">
        <f t="shared" si="0"/>
        <v>11.349999999999998</v>
      </c>
      <c r="Y17" s="90">
        <f t="shared" si="0"/>
        <v>11.349999999999998</v>
      </c>
      <c r="Z17" s="90">
        <f t="shared" si="0"/>
        <v>11.349999999999998</v>
      </c>
      <c r="AA17" s="90">
        <f t="shared" si="0"/>
        <v>0</v>
      </c>
      <c r="AB17" s="90">
        <f t="shared" si="0"/>
        <v>0</v>
      </c>
      <c r="AC17" s="90">
        <f t="shared" si="0"/>
        <v>0</v>
      </c>
      <c r="AD17" s="90">
        <f t="shared" si="0"/>
        <v>0</v>
      </c>
      <c r="AE17" s="90">
        <f t="shared" si="0"/>
        <v>0</v>
      </c>
      <c r="AF17" s="90">
        <f t="shared" si="0"/>
        <v>0</v>
      </c>
      <c r="AG17" s="90">
        <f t="shared" si="0"/>
        <v>0</v>
      </c>
      <c r="AH17" s="90">
        <f t="shared" si="0"/>
        <v>0</v>
      </c>
      <c r="AI17" s="90">
        <f t="shared" si="0"/>
        <v>0</v>
      </c>
      <c r="AJ17" s="90">
        <f t="shared" si="0"/>
        <v>0</v>
      </c>
    </row>
    <row r="18" spans="2:36" s="29" customFormat="1" ht="16">
      <c r="B18" s="36" t="s">
        <v>105</v>
      </c>
      <c r="C18" s="36"/>
      <c r="D18" s="36"/>
      <c r="E18" s="76" t="s">
        <v>0</v>
      </c>
      <c r="F18" s="36"/>
      <c r="G18" s="37">
        <f>(G$17*G$5)/100</f>
        <v>411623.6399999999</v>
      </c>
      <c r="H18" s="37">
        <f t="shared" ref="H18:AJ18" si="1">(H$17*H$5)/100</f>
        <v>411623.6399999999</v>
      </c>
      <c r="I18" s="37">
        <f t="shared" si="1"/>
        <v>411623.6399999999</v>
      </c>
      <c r="J18" s="37">
        <f t="shared" si="1"/>
        <v>411623.6399999999</v>
      </c>
      <c r="K18" s="37">
        <f t="shared" si="1"/>
        <v>411623.6399999999</v>
      </c>
      <c r="L18" s="37">
        <f t="shared" si="1"/>
        <v>411623.6399999999</v>
      </c>
      <c r="M18" s="37">
        <f t="shared" si="1"/>
        <v>411623.6399999999</v>
      </c>
      <c r="N18" s="37">
        <f t="shared" si="1"/>
        <v>411623.6399999999</v>
      </c>
      <c r="O18" s="37">
        <f t="shared" si="1"/>
        <v>411623.6399999999</v>
      </c>
      <c r="P18" s="37">
        <f t="shared" si="1"/>
        <v>411623.6399999999</v>
      </c>
      <c r="Q18" s="37">
        <f t="shared" si="1"/>
        <v>411623.6399999999</v>
      </c>
      <c r="R18" s="37">
        <f t="shared" si="1"/>
        <v>411623.6399999999</v>
      </c>
      <c r="S18" s="37">
        <f t="shared" si="1"/>
        <v>411623.6399999999</v>
      </c>
      <c r="T18" s="37">
        <f t="shared" si="1"/>
        <v>411623.6399999999</v>
      </c>
      <c r="U18" s="37">
        <f t="shared" si="1"/>
        <v>411623.6399999999</v>
      </c>
      <c r="V18" s="37">
        <f t="shared" si="1"/>
        <v>411623.6399999999</v>
      </c>
      <c r="W18" s="37">
        <f t="shared" si="1"/>
        <v>411623.6399999999</v>
      </c>
      <c r="X18" s="37">
        <f t="shared" si="1"/>
        <v>411623.6399999999</v>
      </c>
      <c r="Y18" s="37">
        <f t="shared" si="1"/>
        <v>411623.6399999999</v>
      </c>
      <c r="Z18" s="37">
        <f t="shared" si="1"/>
        <v>411623.6399999999</v>
      </c>
      <c r="AA18" s="37">
        <f t="shared" si="1"/>
        <v>0</v>
      </c>
      <c r="AB18" s="37">
        <f t="shared" si="1"/>
        <v>0</v>
      </c>
      <c r="AC18" s="37">
        <f t="shared" si="1"/>
        <v>0</v>
      </c>
      <c r="AD18" s="37">
        <f t="shared" si="1"/>
        <v>0</v>
      </c>
      <c r="AE18" s="37">
        <f t="shared" si="1"/>
        <v>0</v>
      </c>
      <c r="AF18" s="37">
        <f t="shared" si="1"/>
        <v>0</v>
      </c>
      <c r="AG18" s="37">
        <f t="shared" si="1"/>
        <v>0</v>
      </c>
      <c r="AH18" s="37">
        <f t="shared" si="1"/>
        <v>0</v>
      </c>
      <c r="AI18" s="37">
        <f t="shared" si="1"/>
        <v>0</v>
      </c>
      <c r="AJ18" s="37">
        <f t="shared" si="1"/>
        <v>0</v>
      </c>
    </row>
    <row r="19" spans="2:36" s="29" customFormat="1" ht="16">
      <c r="B19" s="36" t="s">
        <v>219</v>
      </c>
      <c r="C19" s="36"/>
      <c r="D19" s="36"/>
      <c r="E19" s="79" t="s">
        <v>52</v>
      </c>
      <c r="F19" s="36"/>
      <c r="G19" s="90">
        <f>IF(Inputs!$Q$22=Inputs!$G$18,0,IF(Inputs!$Q$27="Year One",Inputs!$Q$28,'Complex Inputs'!$D129))</f>
        <v>0</v>
      </c>
      <c r="H19" s="90">
        <f>IF(H$2&gt;Inputs!$G$18,0,IF(Inputs!$Q$27="Year One",G$19*(1+Inputs!$Q$29),'Complex Inputs'!$D130))</f>
        <v>0</v>
      </c>
      <c r="I19" s="90">
        <f>IF(I$2&gt;Inputs!$G$18,0,IF(Inputs!$Q$27="Year One",H$19*(1+Inputs!$Q$29),'Complex Inputs'!$D131))</f>
        <v>0</v>
      </c>
      <c r="J19" s="90">
        <f>IF(J$2&gt;Inputs!$G$18,0,IF(Inputs!$Q$27="Year One",I$19*(1+Inputs!$Q$29),'Complex Inputs'!$D132))</f>
        <v>0</v>
      </c>
      <c r="K19" s="90">
        <f>IF(K$2&gt;Inputs!$G$18,0,IF(Inputs!$Q$27="Year One",J$19*(1+Inputs!$Q$29),'Complex Inputs'!$D133))</f>
        <v>0</v>
      </c>
      <c r="L19" s="90">
        <f>IF(L$2&gt;Inputs!$G$18,0,IF(Inputs!$Q$27="Year One",K$19*(1+Inputs!$Q$29),'Complex Inputs'!$D134))</f>
        <v>0</v>
      </c>
      <c r="M19" s="90">
        <f>IF(M$2&gt;Inputs!$G$18,0,IF(Inputs!$Q$27="Year One",L$19*(1+Inputs!$Q$29),'Complex Inputs'!$D135))</f>
        <v>0</v>
      </c>
      <c r="N19" s="90">
        <f>IF(N$2&gt;Inputs!$G$18,0,IF(Inputs!$Q$27="Year One",M$19*(1+Inputs!$Q$29),'Complex Inputs'!$D136))</f>
        <v>0</v>
      </c>
      <c r="O19" s="90">
        <f>IF(O$2&gt;Inputs!$G$18,0,IF(Inputs!$Q$27="Year One",N$19*(1+Inputs!$Q$29),'Complex Inputs'!$D137))</f>
        <v>0</v>
      </c>
      <c r="P19" s="90">
        <f>IF(P$2&gt;Inputs!$G$18,0,IF(Inputs!$Q$27="Year One",O$19*(1+Inputs!$Q$29),'Complex Inputs'!$D138))</f>
        <v>0</v>
      </c>
      <c r="Q19" s="90">
        <f>IF(Q$2&gt;Inputs!$G$18,0,IF(Inputs!$Q$27="Year One",P$19*(1+Inputs!$Q$29),'Complex Inputs'!$D139))</f>
        <v>0</v>
      </c>
      <c r="R19" s="90">
        <f>IF(R$2&gt;Inputs!$G$18,0,IF(Inputs!$Q$27="Year One",Q$19*(1+Inputs!$Q$29),'Complex Inputs'!$D140))</f>
        <v>0</v>
      </c>
      <c r="S19" s="90">
        <f>IF(S$2&gt;Inputs!$G$18,0,IF(Inputs!$Q$27="Year One",R$19*(1+Inputs!$Q$29),'Complex Inputs'!$D141))</f>
        <v>0</v>
      </c>
      <c r="T19" s="90">
        <f>IF(T$2&gt;Inputs!$G$18,0,IF(Inputs!$Q$27="Year One",S$19*(1+Inputs!$Q$29),'Complex Inputs'!$D142))</f>
        <v>0</v>
      </c>
      <c r="U19" s="90">
        <f>IF(U$2&gt;Inputs!$G$18,0,IF(Inputs!$Q$27="Year One",T$19*(1+Inputs!$Q$29),'Complex Inputs'!$D143))</f>
        <v>0</v>
      </c>
      <c r="V19" s="90">
        <f>IF(V$2&gt;Inputs!$G$18,0,IF(Inputs!$Q$27="Year One",U$19*(1+Inputs!$Q$29),'Complex Inputs'!$D144))</f>
        <v>0</v>
      </c>
      <c r="W19" s="90">
        <f>IF(W$2&gt;Inputs!$G$18,0,IF(Inputs!$Q$27="Year One",V$19*(1+Inputs!$Q$29),'Complex Inputs'!$D145))</f>
        <v>0</v>
      </c>
      <c r="X19" s="90">
        <f>IF(X$2&gt;Inputs!$G$18,0,IF(Inputs!$Q$27="Year One",W$19*(1+Inputs!$Q$29),'Complex Inputs'!$D146))</f>
        <v>0</v>
      </c>
      <c r="Y19" s="90">
        <f>IF(Y$2&gt;Inputs!$G$18,0,IF(Inputs!$Q$27="Year One",X$19*(1+Inputs!$Q$29),'Complex Inputs'!$D147))</f>
        <v>0</v>
      </c>
      <c r="Z19" s="90">
        <f>IF(Z$2&gt;Inputs!$G$18,0,IF(Inputs!$Q$27="Year One",Y$19*(1+Inputs!$Q$29),'Complex Inputs'!$D148))</f>
        <v>0</v>
      </c>
      <c r="AA19" s="90">
        <f>IF(AA$2&gt;Inputs!$G$18,0,IF(Inputs!$Q$27="Year One",Z$19*(1+Inputs!$Q$29),'Complex Inputs'!$D149))</f>
        <v>0</v>
      </c>
      <c r="AB19" s="90">
        <f>IF(AB$2&gt;Inputs!$G$18,0,IF(Inputs!$Q$27="Year One",AA$19*(1+Inputs!$Q$29),'Complex Inputs'!$D150))</f>
        <v>0</v>
      </c>
      <c r="AC19" s="90">
        <f>IF(AC$2&gt;Inputs!$G$18,0,IF(Inputs!$Q$27="Year One",AB$19*(1+Inputs!$Q$29),'Complex Inputs'!$D151))</f>
        <v>0</v>
      </c>
      <c r="AD19" s="90">
        <f>IF(AD$2&gt;Inputs!$G$18,0,IF(Inputs!$Q$27="Year One",AC$19*(1+Inputs!$Q$29),'Complex Inputs'!$D152))</f>
        <v>0</v>
      </c>
      <c r="AE19" s="90">
        <f>IF(AE$2&gt;Inputs!$G$18,0,IF(Inputs!$Q$27="Year One",AD$19*(1+Inputs!$Q$29),'Complex Inputs'!$D153))</f>
        <v>0</v>
      </c>
      <c r="AF19" s="90">
        <f>IF(AF$2&gt;Inputs!$G$18,0,IF(Inputs!$Q$27="Year One",AE$19*(1+Inputs!$Q$29),'Complex Inputs'!$D154))</f>
        <v>0</v>
      </c>
      <c r="AG19" s="90">
        <f>IF(AG$2&gt;Inputs!$G$18,0,IF(Inputs!$Q$27="Year One",AF$19*(1+Inputs!$Q$29),'Complex Inputs'!$D155))</f>
        <v>0</v>
      </c>
      <c r="AH19" s="90">
        <f>IF(AH$2&gt;Inputs!$G$18,0,IF(Inputs!$Q$27="Year One",AG$19*(1+Inputs!$Q$29),'Complex Inputs'!$D156))</f>
        <v>0</v>
      </c>
      <c r="AI19" s="90">
        <f>IF(AI$2&gt;Inputs!$G$18,0,IF(Inputs!$Q$27="Year One",AH$19*(1+Inputs!$Q$29),'Complex Inputs'!$D157))</f>
        <v>0</v>
      </c>
      <c r="AJ19" s="90">
        <f>IF(AJ$2&gt;Inputs!$G$18,0,IF(Inputs!$Q$27="Year One",AI$19*(1+Inputs!$Q$29),'Complex Inputs'!$D158))</f>
        <v>0</v>
      </c>
    </row>
    <row r="20" spans="2:36" s="29" customFormat="1" ht="16">
      <c r="B20" s="36" t="s">
        <v>218</v>
      </c>
      <c r="C20" s="36"/>
      <c r="D20" s="36"/>
      <c r="E20" s="76" t="s">
        <v>0</v>
      </c>
      <c r="F20" s="36"/>
      <c r="G20" s="37">
        <f>IF(G$2&lt;=Inputs!$Q$22,0,IF(G$2&gt;Inputs!$G$18,0,(G$19*G$5)/100))</f>
        <v>0</v>
      </c>
      <c r="H20" s="37">
        <f>IF(H$2&lt;=Inputs!$Q$22,0,IF(H$2&gt;Inputs!$G$18,0,(H$19*H$5)/100))</f>
        <v>0</v>
      </c>
      <c r="I20" s="37">
        <f>IF(I$2&lt;=Inputs!$Q$22,0,IF(I$2&gt;Inputs!$G$18,0,(I$19*I$5)/100))</f>
        <v>0</v>
      </c>
      <c r="J20" s="37">
        <f>IF(J$2&lt;=Inputs!$Q$22,0,IF(J$2&gt;Inputs!$G$18,0,(J$19*J$5)/100))</f>
        <v>0</v>
      </c>
      <c r="K20" s="37">
        <f>IF(K$2&lt;=Inputs!$Q$22,0,IF(K$2&gt;Inputs!$G$18,0,(K$19*K$5)/100))</f>
        <v>0</v>
      </c>
      <c r="L20" s="37">
        <f>IF(L$2&lt;=Inputs!$Q$22,0,IF(L$2&gt;Inputs!$G$18,0,(L$19*L$5)/100))</f>
        <v>0</v>
      </c>
      <c r="M20" s="37">
        <f>IF(M$2&lt;=Inputs!$Q$22,0,IF(M$2&gt;Inputs!$G$18,0,(M$19*M$5)/100))</f>
        <v>0</v>
      </c>
      <c r="N20" s="37">
        <f>IF(N$2&lt;=Inputs!$Q$22,0,IF(N$2&gt;Inputs!$G$18,0,(N$19*N$5)/100))</f>
        <v>0</v>
      </c>
      <c r="O20" s="37">
        <f>IF(O$2&lt;=Inputs!$Q$22,0,IF(O$2&gt;Inputs!$G$18,0,(O$19*O$5)/100))</f>
        <v>0</v>
      </c>
      <c r="P20" s="37">
        <f>IF(P$2&lt;=Inputs!$Q$22,0,IF(P$2&gt;Inputs!$G$18,0,(P$19*P$5)/100))</f>
        <v>0</v>
      </c>
      <c r="Q20" s="37">
        <f>IF(Q$2&lt;=Inputs!$Q$22,0,IF(Q$2&gt;Inputs!$G$18,0,(Q$19*Q$5)/100))</f>
        <v>0</v>
      </c>
      <c r="R20" s="37">
        <f>IF(R$2&lt;=Inputs!$Q$22,0,IF(R$2&gt;Inputs!$G$18,0,(R$19*R$5)/100))</f>
        <v>0</v>
      </c>
      <c r="S20" s="37">
        <f>IF(S$2&lt;=Inputs!$Q$22,0,IF(S$2&gt;Inputs!$G$18,0,(S$19*S$5)/100))</f>
        <v>0</v>
      </c>
      <c r="T20" s="37">
        <f>IF(T$2&lt;=Inputs!$Q$22,0,IF(T$2&gt;Inputs!$G$18,0,(T$19*T$5)/100))</f>
        <v>0</v>
      </c>
      <c r="U20" s="37">
        <f>IF(U$2&lt;=Inputs!$Q$22,0,IF(U$2&gt;Inputs!$G$18,0,(U$19*U$5)/100))</f>
        <v>0</v>
      </c>
      <c r="V20" s="37">
        <f>IF(V$2&lt;=Inputs!$Q$22,0,IF(V$2&gt;Inputs!$G$18,0,(V$19*V$5)/100))</f>
        <v>0</v>
      </c>
      <c r="W20" s="37">
        <f>IF(W$2&lt;=Inputs!$Q$22,0,IF(W$2&gt;Inputs!$G$18,0,(W$19*W$5)/100))</f>
        <v>0</v>
      </c>
      <c r="X20" s="37">
        <f>IF(X$2&lt;=Inputs!$Q$22,0,IF(X$2&gt;Inputs!$G$18,0,(X$19*X$5)/100))</f>
        <v>0</v>
      </c>
      <c r="Y20" s="37">
        <f>IF(Y$2&lt;=Inputs!$Q$22,0,IF(Y$2&gt;Inputs!$G$18,0,(Y$19*Y$5)/100))</f>
        <v>0</v>
      </c>
      <c r="Z20" s="37">
        <f>IF(Z$2&lt;=Inputs!$Q$22,0,IF(Z$2&gt;Inputs!$G$18,0,(Z$19*Z$5)/100))</f>
        <v>0</v>
      </c>
      <c r="AA20" s="37">
        <f>IF(AA$2&lt;=Inputs!$Q$22,0,IF(AA$2&gt;Inputs!$G$18,0,(AA$19*AA$5)/100))</f>
        <v>0</v>
      </c>
      <c r="AB20" s="37">
        <f>IF(AB$2&lt;=Inputs!$Q$22,0,IF(AB$2&gt;Inputs!$G$18,0,(AB$19*AB$5)/100))</f>
        <v>0</v>
      </c>
      <c r="AC20" s="37">
        <f>IF(AC$2&lt;=Inputs!$Q$22,0,IF(AC$2&gt;Inputs!$G$18,0,(AC$19*AC$5)/100))</f>
        <v>0</v>
      </c>
      <c r="AD20" s="37">
        <f>IF(AD$2&lt;=Inputs!$Q$22,0,IF(AD$2&gt;Inputs!$G$18,0,(AD$19*AD$5)/100))</f>
        <v>0</v>
      </c>
      <c r="AE20" s="37">
        <f>IF(AE$2&lt;=Inputs!$Q$22,0,IF(AE$2&gt;Inputs!$G$18,0,(AE$19*AE$5)/100))</f>
        <v>0</v>
      </c>
      <c r="AF20" s="37">
        <f>IF(AF$2&lt;=Inputs!$Q$22,0,IF(AF$2&gt;Inputs!$G$18,0,(AF$19*AF$5)/100))</f>
        <v>0</v>
      </c>
      <c r="AG20" s="37">
        <f>IF(AG$2&lt;=Inputs!$Q$22,0,IF(AG$2&gt;Inputs!$G$18,0,(AG$19*AG$5)/100))</f>
        <v>0</v>
      </c>
      <c r="AH20" s="37">
        <f>IF(AH$2&lt;=Inputs!$Q$22,0,IF(AH$2&gt;Inputs!$G$18,0,(AH$19*AH$5)/100))</f>
        <v>0</v>
      </c>
      <c r="AI20" s="37">
        <f>IF(AI$2&lt;=Inputs!$Q$22,0,IF(AI$2&gt;Inputs!$G$18,0,(AI$19*AI$5)/100))</f>
        <v>0</v>
      </c>
      <c r="AJ20" s="37">
        <f>IF(AJ$2&lt;=Inputs!$Q$22,0,IF(AJ$2&gt;Inputs!$G$18,0,(AJ$19*AJ$5)/100))</f>
        <v>0</v>
      </c>
    </row>
    <row r="21" spans="2:36" s="29" customFormat="1" ht="16">
      <c r="B21" s="36" t="s">
        <v>106</v>
      </c>
      <c r="C21" s="36"/>
      <c r="D21" s="36"/>
      <c r="E21" s="79" t="s">
        <v>52</v>
      </c>
      <c r="F21" s="36"/>
      <c r="G21" s="90">
        <f>IF(OR(Inputs!$Q$33="Cost-Based",Inputs!$Q$33="Neither"),0,IF(AND(Inputs!$Q$38="Cash",G$2&lt;=Inputs!$Q$41),Inputs!$Q$39*G$12,0))</f>
        <v>0</v>
      </c>
      <c r="H21" s="90">
        <f>IF(OR(Inputs!$Q$33="Cost-Based",Inputs!$Q$33="Neither"),0,IF(AND(Inputs!$Q$38="Cash",H$2&lt;=Inputs!$Q$41),Inputs!$Q$39*H$12,0))</f>
        <v>0</v>
      </c>
      <c r="I21" s="90">
        <f>IF(OR(Inputs!$Q$33="Cost-Based",Inputs!$Q$33="Neither"),0,IF(AND(Inputs!$Q$38="Cash",I$2&lt;=Inputs!$Q$41),Inputs!$Q$39*I$12,0))</f>
        <v>0</v>
      </c>
      <c r="J21" s="90">
        <f>IF(OR(Inputs!$Q$33="Cost-Based",Inputs!$Q$33="Neither"),0,IF(AND(Inputs!$Q$38="Cash",J$2&lt;=Inputs!$Q$41),Inputs!$Q$39*J$12,0))</f>
        <v>0</v>
      </c>
      <c r="K21" s="90">
        <f>IF(OR(Inputs!$Q$33="Cost-Based",Inputs!$Q$33="Neither"),0,IF(AND(Inputs!$Q$38="Cash",K$2&lt;=Inputs!$Q$41),Inputs!$Q$39*K$12,0))</f>
        <v>0</v>
      </c>
      <c r="L21" s="90">
        <f>IF(OR(Inputs!$Q$33="Cost-Based",Inputs!$Q$33="Neither"),0,IF(AND(Inputs!$Q$38="Cash",L$2&lt;=Inputs!$Q$41),Inputs!$Q$39*L$12,0))</f>
        <v>0</v>
      </c>
      <c r="M21" s="90">
        <f>IF(OR(Inputs!$Q$33="Cost-Based",Inputs!$Q$33="Neither"),0,IF(AND(Inputs!$Q$38="Cash",M$2&lt;=Inputs!$Q$41),Inputs!$Q$39*M$12,0))</f>
        <v>0</v>
      </c>
      <c r="N21" s="90">
        <f>IF(OR(Inputs!$Q$33="Cost-Based",Inputs!$Q$33="Neither"),0,IF(AND(Inputs!$Q$38="Cash",N$2&lt;=Inputs!$Q$41),Inputs!$Q$39*N$12,0))</f>
        <v>0</v>
      </c>
      <c r="O21" s="90">
        <f>IF(OR(Inputs!$Q$33="Cost-Based",Inputs!$Q$33="Neither"),0,IF(AND(Inputs!$Q$38="Cash",O$2&lt;=Inputs!$Q$41),Inputs!$Q$39*O$12,0))</f>
        <v>0</v>
      </c>
      <c r="P21" s="90">
        <f>IF(OR(Inputs!$Q$33="Cost-Based",Inputs!$Q$33="Neither"),0,IF(AND(Inputs!$Q$38="Cash",P$2&lt;=Inputs!$Q$41),Inputs!$Q$39*P$12,0))</f>
        <v>0</v>
      </c>
      <c r="Q21" s="90">
        <f>IF(OR(Inputs!$Q$33="Cost-Based",Inputs!$Q$33="Neither"),0,IF(AND(Inputs!$Q$38="Cash",Q$2&lt;=Inputs!$Q$41),Inputs!$Q$39*Q$12,0))</f>
        <v>0</v>
      </c>
      <c r="R21" s="90">
        <f>IF(OR(Inputs!$Q$33="Cost-Based",Inputs!$Q$33="Neither"),0,IF(AND(Inputs!$Q$38="Cash",R$2&lt;=Inputs!$Q$41),Inputs!$Q$39*R$12,0))</f>
        <v>0</v>
      </c>
      <c r="S21" s="90">
        <f>IF(OR(Inputs!$Q$33="Cost-Based",Inputs!$Q$33="Neither"),0,IF(AND(Inputs!$Q$38="Cash",S$2&lt;=Inputs!$Q$41),Inputs!$Q$39*S$12,0))</f>
        <v>0</v>
      </c>
      <c r="T21" s="90">
        <f>IF(OR(Inputs!$Q$33="Cost-Based",Inputs!$Q$33="Neither"),0,IF(AND(Inputs!$Q$38="Cash",T$2&lt;=Inputs!$Q$41),Inputs!$Q$39*T$12,0))</f>
        <v>0</v>
      </c>
      <c r="U21" s="90">
        <f>IF(OR(Inputs!$Q$33="Cost-Based",Inputs!$Q$33="Neither"),0,IF(AND(Inputs!$Q$38="Cash",U$2&lt;=Inputs!$Q$41),Inputs!$Q$39*U$12,0))</f>
        <v>0</v>
      </c>
      <c r="V21" s="90">
        <f>IF(OR(Inputs!$Q$33="Cost-Based",Inputs!$Q$33="Neither"),0,IF(AND(Inputs!$Q$38="Cash",V$2&lt;=Inputs!$Q$41),Inputs!$Q$39*V$12,0))</f>
        <v>0</v>
      </c>
      <c r="W21" s="90">
        <f>IF(OR(Inputs!$Q$33="Cost-Based",Inputs!$Q$33="Neither"),0,IF(AND(Inputs!$Q$38="Cash",W$2&lt;=Inputs!$Q$41),Inputs!$Q$39*W$12,0))</f>
        <v>0</v>
      </c>
      <c r="X21" s="90">
        <f>IF(OR(Inputs!$Q$33="Cost-Based",Inputs!$Q$33="Neither"),0,IF(AND(Inputs!$Q$38="Cash",X$2&lt;=Inputs!$Q$41),Inputs!$Q$39*X$12,0))</f>
        <v>0</v>
      </c>
      <c r="Y21" s="90">
        <f>IF(OR(Inputs!$Q$33="Cost-Based",Inputs!$Q$33="Neither"),0,IF(AND(Inputs!$Q$38="Cash",Y$2&lt;=Inputs!$Q$41),Inputs!$Q$39*Y$12,0))</f>
        <v>0</v>
      </c>
      <c r="Z21" s="90">
        <f>IF(OR(Inputs!$Q$33="Cost-Based",Inputs!$Q$33="Neither"),0,IF(AND(Inputs!$Q$38="Cash",Z$2&lt;=Inputs!$Q$41),Inputs!$Q$39*Z$12,0))</f>
        <v>0</v>
      </c>
      <c r="AA21" s="90">
        <f>IF(OR(Inputs!$Q$33="Cost-Based",Inputs!$Q$33="Neither"),0,IF(AND(Inputs!$Q$38="Cash",AA$2&lt;=Inputs!$Q$41),Inputs!$Q$39*AA$12,0))</f>
        <v>0</v>
      </c>
      <c r="AB21" s="90">
        <f>IF(OR(Inputs!$Q$33="Cost-Based",Inputs!$Q$33="Neither"),0,IF(AND(Inputs!$Q$38="Cash",AB$2&lt;=Inputs!$Q$41),Inputs!$Q$39*AB$12,0))</f>
        <v>0</v>
      </c>
      <c r="AC21" s="90">
        <f>IF(OR(Inputs!$Q$33="Cost-Based",Inputs!$Q$33="Neither"),0,IF(AND(Inputs!$Q$38="Cash",AC$2&lt;=Inputs!$Q$41),Inputs!$Q$39*AC$12,0))</f>
        <v>0</v>
      </c>
      <c r="AD21" s="90">
        <f>IF(OR(Inputs!$Q$33="Cost-Based",Inputs!$Q$33="Neither"),0,IF(AND(Inputs!$Q$38="Cash",AD$2&lt;=Inputs!$Q$41),Inputs!$Q$39*AD$12,0))</f>
        <v>0</v>
      </c>
      <c r="AE21" s="90">
        <f>IF(OR(Inputs!$Q$33="Cost-Based",Inputs!$Q$33="Neither"),0,IF(AND(Inputs!$Q$38="Cash",AE$2&lt;=Inputs!$Q$41),Inputs!$Q$39*AE$12,0))</f>
        <v>0</v>
      </c>
      <c r="AF21" s="90">
        <f>IF(OR(Inputs!$Q$33="Cost-Based",Inputs!$Q$33="Neither"),0,IF(AND(Inputs!$Q$38="Cash",AF$2&lt;=Inputs!$Q$41),Inputs!$Q$39*AF$12,0))</f>
        <v>0</v>
      </c>
      <c r="AG21" s="90">
        <f>IF(OR(Inputs!$Q$33="Cost-Based",Inputs!$Q$33="Neither"),0,IF(AND(Inputs!$Q$38="Cash",AG$2&lt;=Inputs!$Q$41),Inputs!$Q$39*AG$12,0))</f>
        <v>0</v>
      </c>
      <c r="AH21" s="90">
        <f>IF(OR(Inputs!$Q$33="Cost-Based",Inputs!$Q$33="Neither"),0,IF(AND(Inputs!$Q$38="Cash",AH$2&lt;=Inputs!$Q$41),Inputs!$Q$39*AH$12,0))</f>
        <v>0</v>
      </c>
      <c r="AI21" s="90">
        <f>IF(OR(Inputs!$Q$33="Cost-Based",Inputs!$Q$33="Neither"),0,IF(AND(Inputs!$Q$38="Cash",AI$2&lt;=Inputs!$Q$41),Inputs!$Q$39*AI$12,0))</f>
        <v>0</v>
      </c>
      <c r="AJ21" s="90">
        <f>IF(OR(Inputs!$Q$33="Cost-Based",Inputs!$Q$33="Neither"),0,IF(AND(Inputs!$Q$38="Cash",AJ$2&lt;=Inputs!$Q$41),Inputs!$Q$39*AJ$12,0))</f>
        <v>0</v>
      </c>
    </row>
    <row r="22" spans="2:36" s="29" customFormat="1" ht="16">
      <c r="B22" s="36" t="s">
        <v>107</v>
      </c>
      <c r="C22" s="36"/>
      <c r="D22" s="36"/>
      <c r="E22" s="76" t="s">
        <v>0</v>
      </c>
      <c r="F22" s="36"/>
      <c r="G22" s="37">
        <f>(G$21*G$5)/100</f>
        <v>0</v>
      </c>
      <c r="H22" s="37">
        <f t="shared" ref="H22:AJ22" si="2">(H$21*H$5)/100</f>
        <v>0</v>
      </c>
      <c r="I22" s="37">
        <f t="shared" si="2"/>
        <v>0</v>
      </c>
      <c r="J22" s="37">
        <f t="shared" si="2"/>
        <v>0</v>
      </c>
      <c r="K22" s="37">
        <f t="shared" si="2"/>
        <v>0</v>
      </c>
      <c r="L22" s="37">
        <f t="shared" si="2"/>
        <v>0</v>
      </c>
      <c r="M22" s="37">
        <f t="shared" si="2"/>
        <v>0</v>
      </c>
      <c r="N22" s="37">
        <f t="shared" si="2"/>
        <v>0</v>
      </c>
      <c r="O22" s="37">
        <f t="shared" si="2"/>
        <v>0</v>
      </c>
      <c r="P22" s="37">
        <f t="shared" si="2"/>
        <v>0</v>
      </c>
      <c r="Q22" s="37">
        <f t="shared" si="2"/>
        <v>0</v>
      </c>
      <c r="R22" s="37">
        <f t="shared" si="2"/>
        <v>0</v>
      </c>
      <c r="S22" s="37">
        <f t="shared" si="2"/>
        <v>0</v>
      </c>
      <c r="T22" s="37">
        <f t="shared" si="2"/>
        <v>0</v>
      </c>
      <c r="U22" s="37">
        <f t="shared" si="2"/>
        <v>0</v>
      </c>
      <c r="V22" s="37">
        <f t="shared" si="2"/>
        <v>0</v>
      </c>
      <c r="W22" s="37">
        <f t="shared" si="2"/>
        <v>0</v>
      </c>
      <c r="X22" s="37">
        <f t="shared" si="2"/>
        <v>0</v>
      </c>
      <c r="Y22" s="37">
        <f t="shared" si="2"/>
        <v>0</v>
      </c>
      <c r="Z22" s="37">
        <f t="shared" si="2"/>
        <v>0</v>
      </c>
      <c r="AA22" s="37">
        <f t="shared" si="2"/>
        <v>0</v>
      </c>
      <c r="AB22" s="37">
        <f t="shared" si="2"/>
        <v>0</v>
      </c>
      <c r="AC22" s="37">
        <f t="shared" si="2"/>
        <v>0</v>
      </c>
      <c r="AD22" s="37">
        <f t="shared" si="2"/>
        <v>0</v>
      </c>
      <c r="AE22" s="37">
        <f t="shared" si="2"/>
        <v>0</v>
      </c>
      <c r="AF22" s="37">
        <f t="shared" si="2"/>
        <v>0</v>
      </c>
      <c r="AG22" s="37">
        <f t="shared" si="2"/>
        <v>0</v>
      </c>
      <c r="AH22" s="37">
        <f t="shared" si="2"/>
        <v>0</v>
      </c>
      <c r="AI22" s="37">
        <f t="shared" si="2"/>
        <v>0</v>
      </c>
      <c r="AJ22" s="37">
        <f t="shared" si="2"/>
        <v>0</v>
      </c>
    </row>
    <row r="23" spans="2:36" s="38" customFormat="1" ht="16">
      <c r="B23" s="36" t="s">
        <v>108</v>
      </c>
      <c r="C23" s="36"/>
      <c r="D23" s="36"/>
      <c r="E23" s="79" t="s">
        <v>52</v>
      </c>
      <c r="F23" s="36"/>
      <c r="G23" s="90">
        <f>IF(OR(Inputs!$Q$47="Cost-Based",Inputs!$Q$47="Neither"),0,IF(AND(Inputs!$Q$52="Cash",G$2&lt;=Inputs!$Q$57),Inputs!$Q$55*G$13*Inputs!$Q$56,0))</f>
        <v>1.5</v>
      </c>
      <c r="H23" s="90">
        <f>IF(OR(Inputs!$Q$47="Cost-Based",Inputs!$Q$47="Neither"),0,IF(AND(Inputs!$Q$52="Cash",H$2&lt;=Inputs!$Q$57),Inputs!$Q$55*H$13*Inputs!$Q$56,0))</f>
        <v>1.53</v>
      </c>
      <c r="I23" s="90">
        <f>IF(OR(Inputs!$Q$47="Cost-Based",Inputs!$Q$47="Neither"),0,IF(AND(Inputs!$Q$52="Cash",I$2&lt;=Inputs!$Q$57),Inputs!$Q$55*I$13*Inputs!$Q$56,0))</f>
        <v>1.5606</v>
      </c>
      <c r="J23" s="90">
        <f>IF(OR(Inputs!$Q$47="Cost-Based",Inputs!$Q$47="Neither"),0,IF(AND(Inputs!$Q$52="Cash",J$2&lt;=Inputs!$Q$57),Inputs!$Q$55*J$13*Inputs!$Q$56,0))</f>
        <v>1.591812</v>
      </c>
      <c r="K23" s="90">
        <f>IF(OR(Inputs!$Q$47="Cost-Based",Inputs!$Q$47="Neither"),0,IF(AND(Inputs!$Q$52="Cash",K$2&lt;=Inputs!$Q$57),Inputs!$Q$55*K$13*Inputs!$Q$56,0))</f>
        <v>1.6236482400000001</v>
      </c>
      <c r="L23" s="90">
        <f>IF(OR(Inputs!$Q$47="Cost-Based",Inputs!$Q$47="Neither"),0,IF(AND(Inputs!$Q$52="Cash",L$2&lt;=Inputs!$Q$57),Inputs!$Q$55*L$13*Inputs!$Q$56,0))</f>
        <v>1.6561212048</v>
      </c>
      <c r="M23" s="90">
        <f>IF(OR(Inputs!$Q$47="Cost-Based",Inputs!$Q$47="Neither"),0,IF(AND(Inputs!$Q$52="Cash",M$2&lt;=Inputs!$Q$57),Inputs!$Q$55*M$13*Inputs!$Q$56,0))</f>
        <v>1.689243628896</v>
      </c>
      <c r="N23" s="90">
        <f>IF(OR(Inputs!$Q$47="Cost-Based",Inputs!$Q$47="Neither"),0,IF(AND(Inputs!$Q$52="Cash",N$2&lt;=Inputs!$Q$57),Inputs!$Q$55*N$13*Inputs!$Q$56,0))</f>
        <v>1.7230285014739199</v>
      </c>
      <c r="O23" s="90">
        <f>IF(OR(Inputs!$Q$47="Cost-Based",Inputs!$Q$47="Neither"),0,IF(AND(Inputs!$Q$52="Cash",O$2&lt;=Inputs!$Q$57),Inputs!$Q$55*O$13*Inputs!$Q$56,0))</f>
        <v>1.7574890715033986</v>
      </c>
      <c r="P23" s="90">
        <f>IF(OR(Inputs!$Q$47="Cost-Based",Inputs!$Q$47="Neither"),0,IF(AND(Inputs!$Q$52="Cash",P$2&lt;=Inputs!$Q$57),Inputs!$Q$55*P$13*Inputs!$Q$56,0))</f>
        <v>1.7926388529334667</v>
      </c>
      <c r="Q23" s="90">
        <f>IF(OR(Inputs!$Q$47="Cost-Based",Inputs!$Q$47="Neither"),0,IF(AND(Inputs!$Q$52="Cash",Q$2&lt;=Inputs!$Q$57),Inputs!$Q$55*Q$13*Inputs!$Q$56,0))</f>
        <v>0</v>
      </c>
      <c r="R23" s="90">
        <f>IF(OR(Inputs!$Q$47="Cost-Based",Inputs!$Q$47="Neither"),0,IF(AND(Inputs!$Q$52="Cash",R$2&lt;=Inputs!$Q$57),Inputs!$Q$55*R$13*Inputs!$Q$56,0))</f>
        <v>0</v>
      </c>
      <c r="S23" s="90">
        <f>IF(OR(Inputs!$Q$47="Cost-Based",Inputs!$Q$47="Neither"),0,IF(AND(Inputs!$Q$52="Cash",S$2&lt;=Inputs!$Q$57),Inputs!$Q$55*S$13*Inputs!$Q$56,0))</f>
        <v>0</v>
      </c>
      <c r="T23" s="90">
        <f>IF(OR(Inputs!$Q$47="Cost-Based",Inputs!$Q$47="Neither"),0,IF(AND(Inputs!$Q$52="Cash",T$2&lt;=Inputs!$Q$57),Inputs!$Q$55*T$13*Inputs!$Q$56,0))</f>
        <v>0</v>
      </c>
      <c r="U23" s="90">
        <f>IF(OR(Inputs!$Q$47="Cost-Based",Inputs!$Q$47="Neither"),0,IF(AND(Inputs!$Q$52="Cash",U$2&lt;=Inputs!$Q$57),Inputs!$Q$55*U$13*Inputs!$Q$56,0))</f>
        <v>0</v>
      </c>
      <c r="V23" s="90">
        <f>IF(OR(Inputs!$Q$47="Cost-Based",Inputs!$Q$47="Neither"),0,IF(AND(Inputs!$Q$52="Cash",V$2&lt;=Inputs!$Q$57),Inputs!$Q$55*V$13*Inputs!$Q$56,0))</f>
        <v>0</v>
      </c>
      <c r="W23" s="90">
        <f>IF(OR(Inputs!$Q$47="Cost-Based",Inputs!$Q$47="Neither"),0,IF(AND(Inputs!$Q$52="Cash",W$2&lt;=Inputs!$Q$57),Inputs!$Q$55*W$13*Inputs!$Q$56,0))</f>
        <v>0</v>
      </c>
      <c r="X23" s="90">
        <f>IF(OR(Inputs!$Q$47="Cost-Based",Inputs!$Q$47="Neither"),0,IF(AND(Inputs!$Q$52="Cash",X$2&lt;=Inputs!$Q$57),Inputs!$Q$55*X$13*Inputs!$Q$56,0))</f>
        <v>0</v>
      </c>
      <c r="Y23" s="90">
        <f>IF(OR(Inputs!$Q$47="Cost-Based",Inputs!$Q$47="Neither"),0,IF(AND(Inputs!$Q$52="Cash",Y$2&lt;=Inputs!$Q$57),Inputs!$Q$55*Y$13*Inputs!$Q$56,0))</f>
        <v>0</v>
      </c>
      <c r="Z23" s="90">
        <f>IF(OR(Inputs!$Q$47="Cost-Based",Inputs!$Q$47="Neither"),0,IF(AND(Inputs!$Q$52="Cash",Z$2&lt;=Inputs!$Q$57),Inputs!$Q$55*Z$13*Inputs!$Q$56,0))</f>
        <v>0</v>
      </c>
      <c r="AA23" s="90">
        <f>IF(OR(Inputs!$Q$47="Cost-Based",Inputs!$Q$47="Neither"),0,IF(AND(Inputs!$Q$52="Cash",AA$2&lt;=Inputs!$Q$57),Inputs!$Q$55*AA$13*Inputs!$Q$56,0))</f>
        <v>0</v>
      </c>
      <c r="AB23" s="90">
        <f>IF(OR(Inputs!$Q$47="Cost-Based",Inputs!$Q$47="Neither"),0,IF(AND(Inputs!$Q$52="Cash",AB$2&lt;=Inputs!$Q$57),Inputs!$Q$55*AB$13*Inputs!$Q$56,0))</f>
        <v>0</v>
      </c>
      <c r="AC23" s="90">
        <f>IF(OR(Inputs!$Q$47="Cost-Based",Inputs!$Q$47="Neither"),0,IF(AND(Inputs!$Q$52="Cash",AC$2&lt;=Inputs!$Q$57),Inputs!$Q$55*AC$13*Inputs!$Q$56,0))</f>
        <v>0</v>
      </c>
      <c r="AD23" s="90">
        <f>IF(OR(Inputs!$Q$47="Cost-Based",Inputs!$Q$47="Neither"),0,IF(AND(Inputs!$Q$52="Cash",AD$2&lt;=Inputs!$Q$57),Inputs!$Q$55*AD$13*Inputs!$Q$56,0))</f>
        <v>0</v>
      </c>
      <c r="AE23" s="90">
        <f>IF(OR(Inputs!$Q$47="Cost-Based",Inputs!$Q$47="Neither"),0,IF(AND(Inputs!$Q$52="Cash",AE$2&lt;=Inputs!$Q$57),Inputs!$Q$55*AE$13*Inputs!$Q$56,0))</f>
        <v>0</v>
      </c>
      <c r="AF23" s="90">
        <f>IF(OR(Inputs!$Q$47="Cost-Based",Inputs!$Q$47="Neither"),0,IF(AND(Inputs!$Q$52="Cash",AF$2&lt;=Inputs!$Q$57),Inputs!$Q$55*AF$13*Inputs!$Q$56,0))</f>
        <v>0</v>
      </c>
      <c r="AG23" s="90">
        <f>IF(OR(Inputs!$Q$47="Cost-Based",Inputs!$Q$47="Neither"),0,IF(AND(Inputs!$Q$52="Cash",AG$2&lt;=Inputs!$Q$57),Inputs!$Q$55*AG$13*Inputs!$Q$56,0))</f>
        <v>0</v>
      </c>
      <c r="AH23" s="90">
        <f>IF(OR(Inputs!$Q$47="Cost-Based",Inputs!$Q$47="Neither"),0,IF(AND(Inputs!$Q$52="Cash",AH$2&lt;=Inputs!$Q$57),Inputs!$Q$55*AH$13*Inputs!$Q$56,0))</f>
        <v>0</v>
      </c>
      <c r="AI23" s="90">
        <f>IF(OR(Inputs!$Q$47="Cost-Based",Inputs!$Q$47="Neither"),0,IF(AND(Inputs!$Q$52="Cash",AI$2&lt;=Inputs!$Q$57),Inputs!$Q$55*AI$13*Inputs!$Q$56,0))</f>
        <v>0</v>
      </c>
      <c r="AJ23" s="90">
        <f>IF(OR(Inputs!$Q$47="Cost-Based",Inputs!$Q$47="Neither"),0,IF(AND(Inputs!$Q$52="Cash",AJ$2&lt;=Inputs!$Q$57),Inputs!$Q$55*AJ$13*Inputs!$Q$56,0))</f>
        <v>0</v>
      </c>
    </row>
    <row r="24" spans="2:36" s="38" customFormat="1" ht="16">
      <c r="B24" s="36" t="s">
        <v>109</v>
      </c>
      <c r="C24" s="36"/>
      <c r="D24" s="36"/>
      <c r="E24" s="76" t="s">
        <v>0</v>
      </c>
      <c r="F24" s="36"/>
      <c r="G24" s="37">
        <f>IF(Inputs!$Q$53=0,(G$23*G$5)/100,MIN(Inputs!$Q$53,(G$23*G$5)/100))</f>
        <v>54399.6</v>
      </c>
      <c r="H24" s="37">
        <f>IF(Inputs!$Q$53=0,(H$23*H$5)/100,MIN(Inputs!$Q$53,(H$23*H$5)/100))</f>
        <v>55487.592000000004</v>
      </c>
      <c r="I24" s="37">
        <f>IF(Inputs!$Q$53=0,(I$23*I$5)/100,MIN(Inputs!$Q$53,(I$23*I$5)/100))</f>
        <v>56597.343839999994</v>
      </c>
      <c r="J24" s="37">
        <f>IF(Inputs!$Q$53=0,(J$23*J$5)/100,MIN(Inputs!$Q$53,(J$23*J$5)/100))</f>
        <v>57729.290716800002</v>
      </c>
      <c r="K24" s="37">
        <f>IF(Inputs!$Q$53=0,(K$23*K$5)/100,MIN(Inputs!$Q$53,(K$23*K$5)/100))</f>
        <v>58883.876531135997</v>
      </c>
      <c r="L24" s="37">
        <f>IF(Inputs!$Q$53=0,(L$23*L$5)/100,MIN(Inputs!$Q$53,(L$23*L$5)/100))</f>
        <v>60061.554061758725</v>
      </c>
      <c r="M24" s="37">
        <f>IF(Inputs!$Q$53=0,(M$23*M$5)/100,MIN(Inputs!$Q$53,(M$23*M$5)/100))</f>
        <v>61262.785142993889</v>
      </c>
      <c r="N24" s="37">
        <f>IF(Inputs!$Q$53=0,(N$23*N$5)/100,MIN(Inputs!$Q$53,(N$23*N$5)/100))</f>
        <v>62488.040845853771</v>
      </c>
      <c r="O24" s="37">
        <f>IF(Inputs!$Q$53=0,(O$23*O$5)/100,MIN(Inputs!$Q$53,(O$23*O$5)/100))</f>
        <v>63737.801662770857</v>
      </c>
      <c r="P24" s="37">
        <f>IF(Inputs!$Q$53=0,(P$23*P$5)/100,MIN(Inputs!$Q$53,(P$23*P$5)/100))</f>
        <v>65012.557696026277</v>
      </c>
      <c r="Q24" s="37">
        <f>IF(Inputs!$Q$53=0,(Q$23*Q$5)/100,MIN(Inputs!$Q$53,(Q$23*Q$5)/100))</f>
        <v>0</v>
      </c>
      <c r="R24" s="37">
        <f>IF(Inputs!$Q$53=0,(R$23*R$5)/100,MIN(Inputs!$Q$53,(R$23*R$5)/100))</f>
        <v>0</v>
      </c>
      <c r="S24" s="37">
        <f>IF(Inputs!$Q$53=0,(S$23*S$5)/100,MIN(Inputs!$Q$53,(S$23*S$5)/100))</f>
        <v>0</v>
      </c>
      <c r="T24" s="37">
        <f>IF(Inputs!$Q$53=0,(T$23*T$5)/100,MIN(Inputs!$Q$53,(T$23*T$5)/100))</f>
        <v>0</v>
      </c>
      <c r="U24" s="37">
        <f>IF(Inputs!$Q$53=0,(U$23*U$5)/100,MIN(Inputs!$Q$53,(U$23*U$5)/100))</f>
        <v>0</v>
      </c>
      <c r="V24" s="37">
        <f>IF(Inputs!$Q$53=0,(V$23*V$5)/100,MIN(Inputs!$Q$53,(V$23*V$5)/100))</f>
        <v>0</v>
      </c>
      <c r="W24" s="37">
        <f>IF(Inputs!$Q$53=0,(W$23*W$5)/100,MIN(Inputs!$Q$53,(W$23*W$5)/100))</f>
        <v>0</v>
      </c>
      <c r="X24" s="37">
        <f>IF(Inputs!$Q$53=0,(X$23*X$5)/100,MIN(Inputs!$Q$53,(X$23*X$5)/100))</f>
        <v>0</v>
      </c>
      <c r="Y24" s="37">
        <f>IF(Inputs!$Q$53=0,(Y$23*Y$5)/100,MIN(Inputs!$Q$53,(Y$23*Y$5)/100))</f>
        <v>0</v>
      </c>
      <c r="Z24" s="37">
        <f>IF(Inputs!$Q$53=0,(Z$23*Z$5)/100,MIN(Inputs!$Q$53,(Z$23*Z$5)/100))</f>
        <v>0</v>
      </c>
      <c r="AA24" s="37">
        <f>IF(Inputs!$Q$53=0,(AA$23*AA$5)/100,MIN(Inputs!$Q$53,(AA$23*AA$5)/100))</f>
        <v>0</v>
      </c>
      <c r="AB24" s="37">
        <f>IF(Inputs!$Q$53=0,(AB$23*AB$5)/100,MIN(Inputs!$Q$53,(AB$23*AB$5)/100))</f>
        <v>0</v>
      </c>
      <c r="AC24" s="37">
        <f>IF(Inputs!$Q$53=0,(AC$23*AC$5)/100,MIN(Inputs!$Q$53,(AC$23*AC$5)/100))</f>
        <v>0</v>
      </c>
      <c r="AD24" s="37">
        <f>IF(Inputs!$Q$53=0,(AD$23*AD$5)/100,MIN(Inputs!$Q$53,(AD$23*AD$5)/100))</f>
        <v>0</v>
      </c>
      <c r="AE24" s="37">
        <f>IF(Inputs!$Q$53=0,(AE$23*AE$5)/100,MIN(Inputs!$Q$53,(AE$23*AE$5)/100))</f>
        <v>0</v>
      </c>
      <c r="AF24" s="37">
        <f>IF(Inputs!$Q$53=0,(AF$23*AF$5)/100,MIN(Inputs!$Q$53,(AF$23*AF$5)/100))</f>
        <v>0</v>
      </c>
      <c r="AG24" s="37">
        <f>IF(Inputs!$Q$53=0,(AG$23*AG$5)/100,MIN(Inputs!$Q$53,(AG$23*AG$5)/100))</f>
        <v>0</v>
      </c>
      <c r="AH24" s="37">
        <f>IF(Inputs!$Q$53=0,(AH$23*AH$5)/100,MIN(Inputs!$Q$53,(AH$23*AH$5)/100))</f>
        <v>0</v>
      </c>
      <c r="AI24" s="37">
        <f>IF(Inputs!$Q$53=0,(AI$23*AI$5)/100,MIN(Inputs!$Q$53,(AI$23*AI$5)/100))</f>
        <v>0</v>
      </c>
      <c r="AJ24" s="37">
        <f>IF(Inputs!$Q$53=0,(AJ$23*AJ$5)/100,MIN(Inputs!$Q$53,(AJ$23*AJ$5)/100))</f>
        <v>0</v>
      </c>
    </row>
    <row r="25" spans="2:36" s="38" customFormat="1" ht="16">
      <c r="B25" s="36" t="s">
        <v>181</v>
      </c>
      <c r="C25" s="36"/>
      <c r="D25" s="36"/>
      <c r="E25" s="76" t="s">
        <v>0</v>
      </c>
      <c r="F25" s="36"/>
      <c r="G25" s="729">
        <f>G220</f>
        <v>5047.9698673587191</v>
      </c>
      <c r="H25" s="729">
        <f t="shared" ref="H25:AJ25" si="3">H220</f>
        <v>5047.9698673587191</v>
      </c>
      <c r="I25" s="729">
        <f t="shared" si="3"/>
        <v>5047.9698673587191</v>
      </c>
      <c r="J25" s="729">
        <f t="shared" si="3"/>
        <v>5047.9698673587191</v>
      </c>
      <c r="K25" s="729">
        <f t="shared" si="3"/>
        <v>5047.9698673587191</v>
      </c>
      <c r="L25" s="729">
        <f t="shared" si="3"/>
        <v>5047.9698673587191</v>
      </c>
      <c r="M25" s="729">
        <f t="shared" si="3"/>
        <v>5047.9698673587191</v>
      </c>
      <c r="N25" s="729">
        <f t="shared" si="3"/>
        <v>5047.9698673587191</v>
      </c>
      <c r="O25" s="729">
        <f t="shared" si="3"/>
        <v>5047.9698673587191</v>
      </c>
      <c r="P25" s="729">
        <f t="shared" si="3"/>
        <v>5047.9698673587191</v>
      </c>
      <c r="Q25" s="729">
        <f t="shared" si="3"/>
        <v>5047.9698673587191</v>
      </c>
      <c r="R25" s="729">
        <f t="shared" si="3"/>
        <v>5047.9698673587191</v>
      </c>
      <c r="S25" s="729">
        <f t="shared" si="3"/>
        <v>5047.9698673587191</v>
      </c>
      <c r="T25" s="729">
        <f t="shared" si="3"/>
        <v>4122.5453388048545</v>
      </c>
      <c r="U25" s="729">
        <f t="shared" si="3"/>
        <v>3197.1208102509891</v>
      </c>
      <c r="V25" s="729">
        <f t="shared" si="3"/>
        <v>3197.1208102509891</v>
      </c>
      <c r="W25" s="729">
        <f t="shared" si="3"/>
        <v>3197.1208102509891</v>
      </c>
      <c r="X25" s="729">
        <f t="shared" si="3"/>
        <v>3197.1208102509891</v>
      </c>
      <c r="Y25" s="729">
        <f t="shared" si="3"/>
        <v>3197.1208102509891</v>
      </c>
      <c r="Z25" s="729">
        <f t="shared" si="3"/>
        <v>1598.5604051254943</v>
      </c>
      <c r="AA25" s="729">
        <f t="shared" si="3"/>
        <v>-2.1827872842550277E-13</v>
      </c>
      <c r="AB25" s="729">
        <f t="shared" si="3"/>
        <v>0</v>
      </c>
      <c r="AC25" s="729">
        <f t="shared" si="3"/>
        <v>0</v>
      </c>
      <c r="AD25" s="729">
        <f t="shared" si="3"/>
        <v>0</v>
      </c>
      <c r="AE25" s="729">
        <f t="shared" si="3"/>
        <v>0</v>
      </c>
      <c r="AF25" s="729">
        <f t="shared" si="3"/>
        <v>0</v>
      </c>
      <c r="AG25" s="729">
        <f t="shared" si="3"/>
        <v>0</v>
      </c>
      <c r="AH25" s="729">
        <f t="shared" si="3"/>
        <v>0</v>
      </c>
      <c r="AI25" s="729">
        <f t="shared" si="3"/>
        <v>0</v>
      </c>
      <c r="AJ25" s="729">
        <f t="shared" si="3"/>
        <v>0</v>
      </c>
    </row>
    <row r="26" spans="2:36" s="36" customFormat="1" ht="16">
      <c r="B26" s="36" t="s">
        <v>445</v>
      </c>
      <c r="E26" s="76" t="s">
        <v>0</v>
      </c>
      <c r="G26" s="729">
        <f>IF(G2&gt;Inputs!$G$18,0,(Inputs!$Q$7*Inputs!$Q$8)+(Inputs!$Q$9*Inputs!$Q$10)+(Inputs!$Q$11*Inputs!$Q$12))</f>
        <v>300000</v>
      </c>
      <c r="H26" s="729">
        <f>IF(H2&gt;Inputs!$G$18,0,(Inputs!$Q$7*Inputs!$Q$8)+(Inputs!$Q$9*Inputs!$Q$10)+(Inputs!$Q$11*Inputs!$Q$12))</f>
        <v>300000</v>
      </c>
      <c r="I26" s="729">
        <f>IF(I2&gt;Inputs!$G$18,0,(Inputs!$Q$7*Inputs!$Q$8)+(Inputs!$Q$9*Inputs!$Q$10)+(Inputs!$Q$11*Inputs!$Q$12))</f>
        <v>300000</v>
      </c>
      <c r="J26" s="729">
        <f>IF(J2&gt;Inputs!$G$18,0,(Inputs!$Q$7*Inputs!$Q$8)+(Inputs!$Q$9*Inputs!$Q$10)+(Inputs!$Q$11*Inputs!$Q$12))</f>
        <v>300000</v>
      </c>
      <c r="K26" s="729">
        <f>IF(K2&gt;Inputs!$G$18,0,(Inputs!$Q$7*Inputs!$Q$8)+(Inputs!$Q$9*Inputs!$Q$10)+(Inputs!$Q$11*Inputs!$Q$12))</f>
        <v>300000</v>
      </c>
      <c r="L26" s="729">
        <f>IF(L2&gt;Inputs!$G$18,0,(Inputs!$Q$7*Inputs!$Q$8)+(Inputs!$Q$9*Inputs!$Q$10)+(Inputs!$Q$11*Inputs!$Q$12))</f>
        <v>300000</v>
      </c>
      <c r="M26" s="729">
        <f>IF(M2&gt;Inputs!$G$18,0,(Inputs!$Q$7*Inputs!$Q$8)+(Inputs!$Q$9*Inputs!$Q$10)+(Inputs!$Q$11*Inputs!$Q$12))</f>
        <v>300000</v>
      </c>
      <c r="N26" s="729">
        <f>IF(N2&gt;Inputs!$G$18,0,(Inputs!$Q$7*Inputs!$Q$8)+(Inputs!$Q$9*Inputs!$Q$10)+(Inputs!$Q$11*Inputs!$Q$12))</f>
        <v>300000</v>
      </c>
      <c r="O26" s="729">
        <f>IF(O2&gt;Inputs!$G$18,0,(Inputs!$Q$7*Inputs!$Q$8)+(Inputs!$Q$9*Inputs!$Q$10)+(Inputs!$Q$11*Inputs!$Q$12))</f>
        <v>300000</v>
      </c>
      <c r="P26" s="729">
        <f>IF(P2&gt;Inputs!$G$18,0,(Inputs!$Q$7*Inputs!$Q$8)+(Inputs!$Q$9*Inputs!$Q$10)+(Inputs!$Q$11*Inputs!$Q$12))</f>
        <v>300000</v>
      </c>
      <c r="Q26" s="729">
        <f>IF(Q2&gt;Inputs!$G$18,0,(Inputs!$Q$7*Inputs!$Q$8)+(Inputs!$Q$9*Inputs!$Q$10)+(Inputs!$Q$11*Inputs!$Q$12))</f>
        <v>300000</v>
      </c>
      <c r="R26" s="729">
        <f>IF(R2&gt;Inputs!$G$18,0,(Inputs!$Q$7*Inputs!$Q$8)+(Inputs!$Q$9*Inputs!$Q$10)+(Inputs!$Q$11*Inputs!$Q$12))</f>
        <v>300000</v>
      </c>
      <c r="S26" s="729">
        <f>IF(S2&gt;Inputs!$G$18,0,(Inputs!$Q$7*Inputs!$Q$8)+(Inputs!$Q$9*Inputs!$Q$10)+(Inputs!$Q$11*Inputs!$Q$12))</f>
        <v>300000</v>
      </c>
      <c r="T26" s="729">
        <f>IF(T2&gt;Inputs!$G$18,0,(Inputs!$Q$7*Inputs!$Q$8)+(Inputs!$Q$9*Inputs!$Q$10)+(Inputs!$Q$11*Inputs!$Q$12))</f>
        <v>300000</v>
      </c>
      <c r="U26" s="729">
        <f>IF(U2&gt;Inputs!$G$18,0,(Inputs!$Q$7*Inputs!$Q$8)+(Inputs!$Q$9*Inputs!$Q$10)+(Inputs!$Q$11*Inputs!$Q$12))</f>
        <v>300000</v>
      </c>
      <c r="V26" s="729">
        <f>IF(V2&gt;Inputs!$G$18,0,(Inputs!$Q$7*Inputs!$Q$8)+(Inputs!$Q$9*Inputs!$Q$10)+(Inputs!$Q$11*Inputs!$Q$12))</f>
        <v>300000</v>
      </c>
      <c r="W26" s="729">
        <f>IF(W2&gt;Inputs!$G$18,0,(Inputs!$Q$7*Inputs!$Q$8)+(Inputs!$Q$9*Inputs!$Q$10)+(Inputs!$Q$11*Inputs!$Q$12))</f>
        <v>300000</v>
      </c>
      <c r="X26" s="729">
        <f>IF(X2&gt;Inputs!$G$18,0,(Inputs!$Q$7*Inputs!$Q$8)+(Inputs!$Q$9*Inputs!$Q$10)+(Inputs!$Q$11*Inputs!$Q$12))</f>
        <v>300000</v>
      </c>
      <c r="Y26" s="729">
        <f>IF(Y2&gt;Inputs!$G$18,0,(Inputs!$Q$7*Inputs!$Q$8)+(Inputs!$Q$9*Inputs!$Q$10)+(Inputs!$Q$11*Inputs!$Q$12))</f>
        <v>300000</v>
      </c>
      <c r="Z26" s="729">
        <f>IF(Z2&gt;Inputs!$G$18,0,(Inputs!$Q$7*Inputs!$Q$8)+(Inputs!$Q$9*Inputs!$Q$10)+(Inputs!$Q$11*Inputs!$Q$12))</f>
        <v>300000</v>
      </c>
      <c r="AA26" s="729">
        <f>IF(AA2&gt;Inputs!$G$18,0,(Inputs!$Q$7*Inputs!$Q$8)+(Inputs!$Q$9*Inputs!$Q$10)+(Inputs!$Q$11*Inputs!$Q$12))</f>
        <v>0</v>
      </c>
      <c r="AB26" s="729">
        <f>IF(AB2&gt;Inputs!$G$18,0,(Inputs!$Q$7*Inputs!$Q$8)+(Inputs!$Q$9*Inputs!$Q$10)+(Inputs!$Q$11*Inputs!$Q$12))</f>
        <v>0</v>
      </c>
      <c r="AC26" s="729">
        <f>IF(AC2&gt;Inputs!$G$18,0,(Inputs!$Q$7*Inputs!$Q$8)+(Inputs!$Q$9*Inputs!$Q$10)+(Inputs!$Q$11*Inputs!$Q$12))</f>
        <v>0</v>
      </c>
      <c r="AD26" s="729">
        <f>IF(AD2&gt;Inputs!$G$18,0,(Inputs!$Q$7*Inputs!$Q$8)+(Inputs!$Q$9*Inputs!$Q$10)+(Inputs!$Q$11*Inputs!$Q$12))</f>
        <v>0</v>
      </c>
      <c r="AE26" s="729">
        <f>IF(AE2&gt;Inputs!$G$18,0,(Inputs!$Q$7*Inputs!$Q$8)+(Inputs!$Q$9*Inputs!$Q$10)+(Inputs!$Q$11*Inputs!$Q$12))</f>
        <v>0</v>
      </c>
      <c r="AF26" s="729">
        <f>IF(AF2&gt;Inputs!$G$18,0,(Inputs!$Q$7*Inputs!$Q$8)+(Inputs!$Q$9*Inputs!$Q$10)+(Inputs!$Q$11*Inputs!$Q$12))</f>
        <v>0</v>
      </c>
      <c r="AG26" s="729">
        <f>IF(AG2&gt;Inputs!$G$18,0,(Inputs!$Q$7*Inputs!$Q$8)+(Inputs!$Q$9*Inputs!$Q$10)+(Inputs!$Q$11*Inputs!$Q$12))</f>
        <v>0</v>
      </c>
      <c r="AH26" s="729">
        <f>IF(AH2&gt;Inputs!$G$18,0,(Inputs!$Q$7*Inputs!$Q$8)+(Inputs!$Q$9*Inputs!$Q$10)+(Inputs!$Q$11*Inputs!$Q$12))</f>
        <v>0</v>
      </c>
      <c r="AI26" s="729">
        <f>IF(AI2&gt;Inputs!$G$18,0,(Inputs!$Q$7*Inputs!$Q$8)+(Inputs!$Q$9*Inputs!$Q$10)+(Inputs!$Q$11*Inputs!$Q$12))</f>
        <v>0</v>
      </c>
      <c r="AJ26" s="729">
        <f>IF(AJ2&gt;Inputs!$G$18,0,(Inputs!$Q$7*Inputs!$Q$8)+(Inputs!$Q$9*Inputs!$Q$10)+(Inputs!$Q$11*Inputs!$Q$12))</f>
        <v>0</v>
      </c>
    </row>
    <row r="27" spans="2:36" s="36" customFormat="1" ht="16">
      <c r="B27" s="36" t="s">
        <v>459</v>
      </c>
      <c r="E27" s="76" t="s">
        <v>0</v>
      </c>
      <c r="G27" s="729">
        <f>IF(G2&gt;Inputs!$G$18,0,(Inputs!$Q$13*G7)*Inputs!$Q$15)</f>
        <v>0</v>
      </c>
      <c r="H27" s="729">
        <f>IF(H2&gt;Inputs!$G$18,0,(Inputs!$Q$13*H7)*Inputs!$Q$15)</f>
        <v>0</v>
      </c>
      <c r="I27" s="729">
        <f>IF(I2&gt;Inputs!$G$18,0,(Inputs!$Q$13*I7)*Inputs!$Q$15)</f>
        <v>0</v>
      </c>
      <c r="J27" s="729">
        <f>IF(J2&gt;Inputs!$G$18,0,(Inputs!$Q$13*J7)*Inputs!$Q$15)</f>
        <v>0</v>
      </c>
      <c r="K27" s="729">
        <f>IF(K2&gt;Inputs!$G$18,0,(Inputs!$Q$13*K7)*Inputs!$Q$15)</f>
        <v>0</v>
      </c>
      <c r="L27" s="729">
        <f>IF(L2&gt;Inputs!$G$18,0,(Inputs!$Q$13*L7)*Inputs!$Q$15)</f>
        <v>0</v>
      </c>
      <c r="M27" s="729">
        <f>IF(M2&gt;Inputs!$G$18,0,(Inputs!$Q$13*M7)*Inputs!$Q$15)</f>
        <v>0</v>
      </c>
      <c r="N27" s="729">
        <f>IF(N2&gt;Inputs!$G$18,0,(Inputs!$Q$13*N7)*Inputs!$Q$15)</f>
        <v>0</v>
      </c>
      <c r="O27" s="729">
        <f>IF(O2&gt;Inputs!$G$18,0,(Inputs!$Q$13*O7)*Inputs!$Q$15)</f>
        <v>0</v>
      </c>
      <c r="P27" s="729">
        <f>IF(P2&gt;Inputs!$G$18,0,(Inputs!$Q$13*P7)*Inputs!$Q$15)</f>
        <v>0</v>
      </c>
      <c r="Q27" s="729">
        <f>IF(Q2&gt;Inputs!$G$18,0,(Inputs!$Q$13*Q7)*Inputs!$Q$15)</f>
        <v>0</v>
      </c>
      <c r="R27" s="729">
        <f>IF(R2&gt;Inputs!$G$18,0,(Inputs!$Q$13*R7)*Inputs!$Q$15)</f>
        <v>0</v>
      </c>
      <c r="S27" s="729">
        <f>IF(S2&gt;Inputs!$G$18,0,(Inputs!$Q$13*S7)*Inputs!$Q$15)</f>
        <v>0</v>
      </c>
      <c r="T27" s="729">
        <f>IF(T2&gt;Inputs!$G$18,0,(Inputs!$Q$13*T7)*Inputs!$Q$15)</f>
        <v>0</v>
      </c>
      <c r="U27" s="729">
        <f>IF(U2&gt;Inputs!$G$18,0,(Inputs!$Q$13*U7)*Inputs!$Q$15)</f>
        <v>0</v>
      </c>
      <c r="V27" s="729">
        <f>IF(V2&gt;Inputs!$G$18,0,(Inputs!$Q$13*V7)*Inputs!$Q$15)</f>
        <v>0</v>
      </c>
      <c r="W27" s="729">
        <f>IF(W2&gt;Inputs!$G$18,0,(Inputs!$Q$13*W7)*Inputs!$Q$15)</f>
        <v>0</v>
      </c>
      <c r="X27" s="729">
        <f>IF(X2&gt;Inputs!$G$18,0,(Inputs!$Q$13*X7)*Inputs!$Q$15)</f>
        <v>0</v>
      </c>
      <c r="Y27" s="729">
        <f>IF(Y2&gt;Inputs!$G$18,0,(Inputs!$Q$13*Y7)*Inputs!$Q$15)</f>
        <v>0</v>
      </c>
      <c r="Z27" s="729">
        <f>IF(Z2&gt;Inputs!$G$18,0,(Inputs!$Q$13*Z7)*Inputs!$Q$15)</f>
        <v>0</v>
      </c>
      <c r="AA27" s="729">
        <f>IF(AA2&gt;Inputs!$G$18,0,(Inputs!$Q$13*AA7)*Inputs!$Q$15)</f>
        <v>0</v>
      </c>
      <c r="AB27" s="729">
        <f>IF(AB2&gt;Inputs!$G$18,0,(Inputs!$Q$13*AB7)*Inputs!$Q$15)</f>
        <v>0</v>
      </c>
      <c r="AC27" s="729">
        <f>IF(AC2&gt;Inputs!$G$18,0,(Inputs!$Q$13*AC7)*Inputs!$Q$15)</f>
        <v>0</v>
      </c>
      <c r="AD27" s="729">
        <f>IF(AD2&gt;Inputs!$G$18,0,(Inputs!$Q$13*AD7)*Inputs!$Q$15)</f>
        <v>0</v>
      </c>
      <c r="AE27" s="729">
        <f>IF(AE2&gt;Inputs!$G$18,0,(Inputs!$Q$13*AE7)*Inputs!$Q$15)</f>
        <v>0</v>
      </c>
      <c r="AF27" s="729">
        <f>IF(AF2&gt;Inputs!$G$18,0,(Inputs!$Q$13*AF7)*Inputs!$Q$15)</f>
        <v>0</v>
      </c>
      <c r="AG27" s="729">
        <f>IF(AG2&gt;Inputs!$G$18,0,(Inputs!$Q$13*AG7)*Inputs!$Q$15)</f>
        <v>0</v>
      </c>
      <c r="AH27" s="729">
        <f>IF(AH2&gt;Inputs!$G$18,0,(Inputs!$Q$13*AH7)*Inputs!$Q$15)</f>
        <v>0</v>
      </c>
      <c r="AI27" s="729">
        <f>IF(AI2&gt;Inputs!$G$18,0,(Inputs!$Q$13*AI7)*Inputs!$Q$15)</f>
        <v>0</v>
      </c>
      <c r="AJ27" s="729">
        <f>IF(AJ2&gt;Inputs!$G$18,0,(Inputs!$Q$13*AJ7)*Inputs!$Q$15)</f>
        <v>0</v>
      </c>
    </row>
    <row r="28" spans="2:36" s="36" customFormat="1" ht="16">
      <c r="B28" s="39" t="s">
        <v>481</v>
      </c>
      <c r="C28" s="39"/>
      <c r="D28" s="39"/>
      <c r="E28" s="80" t="s">
        <v>0</v>
      </c>
      <c r="F28" s="39"/>
      <c r="G28" s="744">
        <f>G6*(Inputs!$Q$18*G$8)</f>
        <v>0</v>
      </c>
      <c r="H28" s="744">
        <f>H6*(Inputs!$Q$18*H$8)</f>
        <v>0</v>
      </c>
      <c r="I28" s="744">
        <f>I6*(Inputs!$Q$18*I$8)</f>
        <v>0</v>
      </c>
      <c r="J28" s="744">
        <f>J6*(Inputs!$Q$18*J$8)</f>
        <v>0</v>
      </c>
      <c r="K28" s="744">
        <f>K6*(Inputs!$Q$18*K$8)</f>
        <v>0</v>
      </c>
      <c r="L28" s="744">
        <f>L6*(Inputs!$Q$18*L$8)</f>
        <v>0</v>
      </c>
      <c r="M28" s="744">
        <f>M6*(Inputs!$Q$18*M$8)</f>
        <v>0</v>
      </c>
      <c r="N28" s="744">
        <f>N6*(Inputs!$Q$18*N$8)</f>
        <v>0</v>
      </c>
      <c r="O28" s="744">
        <f>O6*(Inputs!$Q$18*O$8)</f>
        <v>0</v>
      </c>
      <c r="P28" s="744">
        <f>P6*(Inputs!$Q$18*P$8)</f>
        <v>0</v>
      </c>
      <c r="Q28" s="744">
        <f>Q6*(Inputs!$Q$18*Q$8)</f>
        <v>0</v>
      </c>
      <c r="R28" s="744">
        <f>R6*(Inputs!$Q$18*R$8)</f>
        <v>0</v>
      </c>
      <c r="S28" s="744">
        <f>S6*(Inputs!$Q$18*S$8)</f>
        <v>0</v>
      </c>
      <c r="T28" s="744">
        <f>T6*(Inputs!$Q$18*T$8)</f>
        <v>0</v>
      </c>
      <c r="U28" s="744">
        <f>U6*(Inputs!$Q$18*U$8)</f>
        <v>0</v>
      </c>
      <c r="V28" s="744">
        <f>V6*(Inputs!$Q$18*V$8)</f>
        <v>0</v>
      </c>
      <c r="W28" s="744">
        <f>W6*(Inputs!$Q$18*W$8)</f>
        <v>0</v>
      </c>
      <c r="X28" s="744">
        <f>X6*(Inputs!$Q$18*X$8)</f>
        <v>0</v>
      </c>
      <c r="Y28" s="744">
        <f>Y6*(Inputs!$Q$18*Y$8)</f>
        <v>0</v>
      </c>
      <c r="Z28" s="744">
        <f>Z6*(Inputs!$Q$18*Z$8)</f>
        <v>0</v>
      </c>
      <c r="AA28" s="744">
        <f>AA6*(Inputs!$Q$18*AA$8)</f>
        <v>0</v>
      </c>
      <c r="AB28" s="744">
        <f>AB6*(Inputs!$Q$18*AB$8)</f>
        <v>0</v>
      </c>
      <c r="AC28" s="744">
        <f>AC6*(Inputs!$Q$18*AC$8)</f>
        <v>0</v>
      </c>
      <c r="AD28" s="744">
        <f>AD6*(Inputs!$Q$18*AD$8)</f>
        <v>0</v>
      </c>
      <c r="AE28" s="744">
        <f>AE6*(Inputs!$Q$18*AE$8)</f>
        <v>0</v>
      </c>
      <c r="AF28" s="744">
        <f>AF6*(Inputs!$Q$18*AF$8)</f>
        <v>0</v>
      </c>
      <c r="AG28" s="744">
        <f>AG6*(Inputs!$Q$18*AG$8)</f>
        <v>0</v>
      </c>
      <c r="AH28" s="744">
        <f>AH6*(Inputs!$Q$18*AH$8)</f>
        <v>0</v>
      </c>
      <c r="AI28" s="744">
        <f>AI6*(Inputs!$Q$18*AI$8)</f>
        <v>0</v>
      </c>
      <c r="AJ28" s="744">
        <f>AJ6*(Inputs!$Q$18*AJ$8)</f>
        <v>0</v>
      </c>
    </row>
    <row r="29" spans="2:36" s="31" customFormat="1" ht="16">
      <c r="B29" s="49" t="s">
        <v>116</v>
      </c>
      <c r="C29" s="49"/>
      <c r="D29" s="49"/>
      <c r="E29" s="745" t="s">
        <v>0</v>
      </c>
      <c r="F29" s="49"/>
      <c r="G29" s="746">
        <f>G18+G20+G22+G24+G25+G26+G27+G28</f>
        <v>771071.20986735867</v>
      </c>
      <c r="H29" s="746">
        <f t="shared" ref="H29:AJ29" si="4">H18+H20+H22+H24+H25+H26+H27+H28</f>
        <v>772159.20186735864</v>
      </c>
      <c r="I29" s="746">
        <f t="shared" si="4"/>
        <v>773268.95370735857</v>
      </c>
      <c r="J29" s="746">
        <f t="shared" si="4"/>
        <v>774400.90058415872</v>
      </c>
      <c r="K29" s="746">
        <f t="shared" si="4"/>
        <v>775555.48639849457</v>
      </c>
      <c r="L29" s="746">
        <f t="shared" si="4"/>
        <v>776733.16392911738</v>
      </c>
      <c r="M29" s="746">
        <f t="shared" si="4"/>
        <v>777934.3950103526</v>
      </c>
      <c r="N29" s="746">
        <f t="shared" si="4"/>
        <v>779159.65071321232</v>
      </c>
      <c r="O29" s="746">
        <f t="shared" si="4"/>
        <v>780409.4115301295</v>
      </c>
      <c r="P29" s="746">
        <f t="shared" si="4"/>
        <v>781684.16756338486</v>
      </c>
      <c r="Q29" s="746">
        <f t="shared" si="4"/>
        <v>716671.60986735858</v>
      </c>
      <c r="R29" s="746">
        <f t="shared" si="4"/>
        <v>716671.60986735858</v>
      </c>
      <c r="S29" s="746">
        <f t="shared" si="4"/>
        <v>716671.60986735858</v>
      </c>
      <c r="T29" s="746">
        <f t="shared" si="4"/>
        <v>715746.18533880473</v>
      </c>
      <c r="U29" s="746">
        <f t="shared" si="4"/>
        <v>714820.76081025088</v>
      </c>
      <c r="V29" s="746">
        <f t="shared" si="4"/>
        <v>714820.76081025088</v>
      </c>
      <c r="W29" s="746">
        <f t="shared" si="4"/>
        <v>714820.76081025088</v>
      </c>
      <c r="X29" s="746">
        <f t="shared" si="4"/>
        <v>714820.76081025088</v>
      </c>
      <c r="Y29" s="746">
        <f t="shared" si="4"/>
        <v>714820.76081025088</v>
      </c>
      <c r="Z29" s="746">
        <f t="shared" si="4"/>
        <v>713222.20040512539</v>
      </c>
      <c r="AA29" s="746">
        <f t="shared" si="4"/>
        <v>-2.1827872842550277E-13</v>
      </c>
      <c r="AB29" s="746">
        <f t="shared" si="4"/>
        <v>0</v>
      </c>
      <c r="AC29" s="746">
        <f t="shared" si="4"/>
        <v>0</v>
      </c>
      <c r="AD29" s="746">
        <f t="shared" si="4"/>
        <v>0</v>
      </c>
      <c r="AE29" s="746">
        <f t="shared" si="4"/>
        <v>0</v>
      </c>
      <c r="AF29" s="746">
        <f t="shared" si="4"/>
        <v>0</v>
      </c>
      <c r="AG29" s="746">
        <f t="shared" si="4"/>
        <v>0</v>
      </c>
      <c r="AH29" s="746">
        <f t="shared" si="4"/>
        <v>0</v>
      </c>
      <c r="AI29" s="746">
        <f t="shared" si="4"/>
        <v>0</v>
      </c>
      <c r="AJ29" s="746">
        <f t="shared" si="4"/>
        <v>0</v>
      </c>
    </row>
    <row r="30" spans="2:36" s="31" customFormat="1" ht="16">
      <c r="E30" s="82"/>
    </row>
    <row r="31" spans="2:36" s="31" customFormat="1" ht="16">
      <c r="B31" s="49" t="s">
        <v>68</v>
      </c>
      <c r="C31" s="49"/>
      <c r="D31" s="49"/>
      <c r="E31" s="82"/>
    </row>
    <row r="32" spans="2:36" s="31" customFormat="1" ht="16">
      <c r="B32" s="31" t="s">
        <v>110</v>
      </c>
      <c r="E32" s="76"/>
      <c r="F32" s="747"/>
      <c r="G32" s="320">
        <v>1</v>
      </c>
      <c r="H32" s="83">
        <f>G32*(1+IF(G$2&lt;=Inputs!$G$37,Inputs!$G$36,Inputs!$G$38))</f>
        <v>1.02</v>
      </c>
      <c r="I32" s="83">
        <f>H32*(1+IF(H$2&lt;=Inputs!$G$37,Inputs!$G$36,Inputs!$G$38))</f>
        <v>1.0404</v>
      </c>
      <c r="J32" s="83">
        <f>I32*(1+IF(I$2&lt;=Inputs!$G$37,Inputs!$G$36,Inputs!$G$38))</f>
        <v>1.0612079999999999</v>
      </c>
      <c r="K32" s="83">
        <f>J32*(1+IF(J$2&lt;=Inputs!$G$37,Inputs!$G$36,Inputs!$G$38))</f>
        <v>1.08243216</v>
      </c>
      <c r="L32" s="83">
        <f>K32*(1+IF(K$2&lt;=Inputs!$G$37,Inputs!$G$36,Inputs!$G$38))</f>
        <v>1.1040808032</v>
      </c>
      <c r="M32" s="83">
        <f>L32*(1+IF(L$2&lt;=Inputs!$G$37,Inputs!$G$36,Inputs!$G$38))</f>
        <v>1.1261624192640001</v>
      </c>
      <c r="N32" s="83">
        <f>M32*(1+IF(M$2&lt;=Inputs!$G$37,Inputs!$G$36,Inputs!$G$38))</f>
        <v>1.14868566764928</v>
      </c>
      <c r="O32" s="83">
        <f>N32*(1+IF(N$2&lt;=Inputs!$G$37,Inputs!$G$36,Inputs!$G$38))</f>
        <v>1.1716593810022657</v>
      </c>
      <c r="P32" s="83">
        <f>O32*(1+IF(O$2&lt;=Inputs!$G$37,Inputs!$G$36,Inputs!$G$38))</f>
        <v>1.1950925686223111</v>
      </c>
      <c r="Q32" s="83">
        <f>P32*(1+IF(P$2&lt;=Inputs!$G$37,Inputs!$G$36,Inputs!$G$38))</f>
        <v>1.2189944199947573</v>
      </c>
      <c r="R32" s="83">
        <f>Q32*(1+IF(Q$2&lt;=Inputs!$G$37,Inputs!$G$36,Inputs!$G$38))</f>
        <v>1.2433743083946525</v>
      </c>
      <c r="S32" s="83">
        <f>R32*(1+IF(R$2&lt;=Inputs!$G$37,Inputs!$G$36,Inputs!$G$38))</f>
        <v>1.2682417945625455</v>
      </c>
      <c r="T32" s="83">
        <f>S32*(1+IF(S$2&lt;=Inputs!$G$37,Inputs!$G$36,Inputs!$G$38))</f>
        <v>1.2936066304537963</v>
      </c>
      <c r="U32" s="83">
        <f>T32*(1+IF(T$2&lt;=Inputs!$G$37,Inputs!$G$36,Inputs!$G$38))</f>
        <v>1.3194787630628724</v>
      </c>
      <c r="V32" s="83">
        <f>U32*(1+IF(U$2&lt;=Inputs!$G$37,Inputs!$G$36,Inputs!$G$38))</f>
        <v>1.3458683383241299</v>
      </c>
      <c r="W32" s="83">
        <f>V32*(1+IF(V$2&lt;=Inputs!$G$37,Inputs!$G$36,Inputs!$G$38))</f>
        <v>1.3727857050906125</v>
      </c>
      <c r="X32" s="83">
        <f>W32*(1+IF(W$2&lt;=Inputs!$G$37,Inputs!$G$36,Inputs!$G$38))</f>
        <v>1.4002414191924248</v>
      </c>
      <c r="Y32" s="83">
        <f>X32*(1+IF(X$2&lt;=Inputs!$G$37,Inputs!$G$36,Inputs!$G$38))</f>
        <v>1.4282462475762734</v>
      </c>
      <c r="Z32" s="83">
        <f>Y32*(1+IF(Y$2&lt;=Inputs!$G$37,Inputs!$G$36,Inputs!$G$38))</f>
        <v>1.4568111725277988</v>
      </c>
      <c r="AA32" s="83">
        <f>Z32*(1+IF(Z$2&lt;=Inputs!$G$37,Inputs!$G$36,Inputs!$G$38))</f>
        <v>1.4859473959783549</v>
      </c>
      <c r="AB32" s="83">
        <f>AA32*(1+IF(AA$2&lt;=Inputs!$G$37,Inputs!$G$36,Inputs!$G$38))</f>
        <v>1.5156663438979221</v>
      </c>
      <c r="AC32" s="83">
        <f>AB32*(1+IF(AB$2&lt;=Inputs!$G$37,Inputs!$G$36,Inputs!$G$38))</f>
        <v>1.5459796707758806</v>
      </c>
      <c r="AD32" s="83">
        <f>AC32*(1+IF(AC$2&lt;=Inputs!$G$37,Inputs!$G$36,Inputs!$G$38))</f>
        <v>1.5768992641913981</v>
      </c>
      <c r="AE32" s="83">
        <f>AD32*(1+IF(AD$2&lt;=Inputs!$G$37,Inputs!$G$36,Inputs!$G$38))</f>
        <v>1.6084372494752261</v>
      </c>
      <c r="AF32" s="83">
        <f>AE32*(1+IF(AE$2&lt;=Inputs!$G$37,Inputs!$G$36,Inputs!$G$38))</f>
        <v>1.6406059944647307</v>
      </c>
      <c r="AG32" s="83">
        <f>AF32*(1+IF(AF$2&lt;=Inputs!$G$37,Inputs!$G$36,Inputs!$G$38))</f>
        <v>1.6734181143540252</v>
      </c>
      <c r="AH32" s="83">
        <f>AG32*(1+IF(AG$2&lt;=Inputs!$G$37,Inputs!$G$36,Inputs!$G$38))</f>
        <v>1.7068864766411058</v>
      </c>
      <c r="AI32" s="83">
        <f>AH32*(1+IF(AH$2&lt;=Inputs!$G$37,Inputs!$G$36,Inputs!$G$38))</f>
        <v>1.7410242061739281</v>
      </c>
      <c r="AJ32" s="83">
        <f>AI32*(1+IF(AI$2&lt;=Inputs!$G$37,Inputs!$G$36,Inputs!$G$38))</f>
        <v>1.7758446902974065</v>
      </c>
    </row>
    <row r="33" spans="2:36" s="31" customFormat="1" ht="16">
      <c r="B33" s="31" t="s">
        <v>464</v>
      </c>
      <c r="E33" s="76"/>
      <c r="F33" s="747"/>
      <c r="G33" s="320">
        <v>1</v>
      </c>
      <c r="H33" s="83">
        <f>G33*(1+Inputs!$G$43)</f>
        <v>1.02</v>
      </c>
      <c r="I33" s="83">
        <f>H33*(1+Inputs!$G$43)</f>
        <v>1.0404</v>
      </c>
      <c r="J33" s="83">
        <f>I33*(1+Inputs!$G$43)</f>
        <v>1.0612079999999999</v>
      </c>
      <c r="K33" s="83">
        <f>J33*(1+Inputs!$G$43)</f>
        <v>1.08243216</v>
      </c>
      <c r="L33" s="83">
        <f>K33*(1+Inputs!$G$43)</f>
        <v>1.1040808032</v>
      </c>
      <c r="M33" s="83">
        <f>L33*(1+Inputs!$G$43)</f>
        <v>1.1261624192640001</v>
      </c>
      <c r="N33" s="83">
        <f>M33*(1+Inputs!$G$43)</f>
        <v>1.14868566764928</v>
      </c>
      <c r="O33" s="83">
        <f>N33*(1+Inputs!$G$43)</f>
        <v>1.1716593810022657</v>
      </c>
      <c r="P33" s="83">
        <f>O33*(1+Inputs!$G$43)</f>
        <v>1.1950925686223111</v>
      </c>
      <c r="Q33" s="83">
        <f>P33*(1+Inputs!$G$43)</f>
        <v>1.2189944199947573</v>
      </c>
      <c r="R33" s="83">
        <f>Q33*(1+Inputs!$G$43)</f>
        <v>1.2433743083946525</v>
      </c>
      <c r="S33" s="83">
        <f>R33*(1+Inputs!$G$43)</f>
        <v>1.2682417945625455</v>
      </c>
      <c r="T33" s="83">
        <f>S33*(1+Inputs!$G$43)</f>
        <v>1.2936066304537963</v>
      </c>
      <c r="U33" s="83">
        <f>T33*(1+Inputs!$G$43)</f>
        <v>1.3194787630628724</v>
      </c>
      <c r="V33" s="83">
        <f>U33*(1+Inputs!$G$43)</f>
        <v>1.3458683383241299</v>
      </c>
      <c r="W33" s="83">
        <f>V33*(1+Inputs!$G$43)</f>
        <v>1.3727857050906125</v>
      </c>
      <c r="X33" s="83">
        <f>W33*(1+Inputs!$G$43)</f>
        <v>1.4002414191924248</v>
      </c>
      <c r="Y33" s="83">
        <f>X33*(1+Inputs!$G$43)</f>
        <v>1.4282462475762734</v>
      </c>
      <c r="Z33" s="83">
        <f>Y33*(1+Inputs!$G$43)</f>
        <v>1.4568111725277988</v>
      </c>
      <c r="AA33" s="83">
        <f>Z33*(1+Inputs!$G$43)</f>
        <v>1.4859473959783549</v>
      </c>
      <c r="AB33" s="83">
        <f>AA33*(1+Inputs!$G$43)</f>
        <v>1.5156663438979221</v>
      </c>
      <c r="AC33" s="83">
        <f>AB33*(1+Inputs!$G$43)</f>
        <v>1.5459796707758806</v>
      </c>
      <c r="AD33" s="83">
        <f>AC33*(1+Inputs!$G$43)</f>
        <v>1.5768992641913981</v>
      </c>
      <c r="AE33" s="83">
        <f>AD33*(1+Inputs!$G$43)</f>
        <v>1.6084372494752261</v>
      </c>
      <c r="AF33" s="83">
        <f>AE33*(1+Inputs!$G$43)</f>
        <v>1.6406059944647307</v>
      </c>
      <c r="AG33" s="83">
        <f>AF33*(1+Inputs!$G$43)</f>
        <v>1.6734181143540252</v>
      </c>
      <c r="AH33" s="83">
        <f>AG33*(1+Inputs!$G$43)</f>
        <v>1.7068864766411058</v>
      </c>
      <c r="AI33" s="83">
        <f>AH33*(1+Inputs!$G$43)</f>
        <v>1.7410242061739281</v>
      </c>
      <c r="AJ33" s="83">
        <f>AI33*(1+Inputs!$G$43)</f>
        <v>1.7758446902974065</v>
      </c>
    </row>
    <row r="34" spans="2:36" s="31" customFormat="1" ht="16">
      <c r="B34" s="31" t="s">
        <v>451</v>
      </c>
      <c r="E34" s="76"/>
      <c r="F34" s="747"/>
      <c r="G34" s="320">
        <v>1</v>
      </c>
      <c r="H34" s="83">
        <f>G34*(1+Inputs!$G$46)</f>
        <v>1.02</v>
      </c>
      <c r="I34" s="83">
        <f>H34*(1+Inputs!$G$46)</f>
        <v>1.0404</v>
      </c>
      <c r="J34" s="83">
        <f>I34*(1+Inputs!$G$46)</f>
        <v>1.0612079999999999</v>
      </c>
      <c r="K34" s="83">
        <f>J34*(1+Inputs!$G$46)</f>
        <v>1.08243216</v>
      </c>
      <c r="L34" s="83">
        <f>K34*(1+Inputs!$G$46)</f>
        <v>1.1040808032</v>
      </c>
      <c r="M34" s="83">
        <f>L34*(1+Inputs!$G$46)</f>
        <v>1.1261624192640001</v>
      </c>
      <c r="N34" s="83">
        <f>M34*(1+Inputs!$G$46)</f>
        <v>1.14868566764928</v>
      </c>
      <c r="O34" s="83">
        <f>N34*(1+Inputs!$G$46)</f>
        <v>1.1716593810022657</v>
      </c>
      <c r="P34" s="83">
        <f>O34*(1+Inputs!$G$46)</f>
        <v>1.1950925686223111</v>
      </c>
      <c r="Q34" s="83">
        <f>P34*(1+Inputs!$G$46)</f>
        <v>1.2189944199947573</v>
      </c>
      <c r="R34" s="83">
        <f>Q34*(1+Inputs!$G$46)</f>
        <v>1.2433743083946525</v>
      </c>
      <c r="S34" s="83">
        <f>R34*(1+Inputs!$G$46)</f>
        <v>1.2682417945625455</v>
      </c>
      <c r="T34" s="83">
        <f>S34*(1+Inputs!$G$46)</f>
        <v>1.2936066304537963</v>
      </c>
      <c r="U34" s="83">
        <f>T34*(1+Inputs!$G$46)</f>
        <v>1.3194787630628724</v>
      </c>
      <c r="V34" s="83">
        <f>U34*(1+Inputs!$G$46)</f>
        <v>1.3458683383241299</v>
      </c>
      <c r="W34" s="83">
        <f>V34*(1+Inputs!$G$46)</f>
        <v>1.3727857050906125</v>
      </c>
      <c r="X34" s="83">
        <f>W34*(1+Inputs!$G$46)</f>
        <v>1.4002414191924248</v>
      </c>
      <c r="Y34" s="83">
        <f>X34*(1+Inputs!$G$46)</f>
        <v>1.4282462475762734</v>
      </c>
      <c r="Z34" s="83">
        <f>Y34*(1+Inputs!$G$46)</f>
        <v>1.4568111725277988</v>
      </c>
      <c r="AA34" s="83">
        <f>Z34*(1+Inputs!$G$46)</f>
        <v>1.4859473959783549</v>
      </c>
      <c r="AB34" s="83">
        <f>AA34*(1+Inputs!$G$46)</f>
        <v>1.5156663438979221</v>
      </c>
      <c r="AC34" s="83">
        <f>AB34*(1+Inputs!$G$46)</f>
        <v>1.5459796707758806</v>
      </c>
      <c r="AD34" s="83">
        <f>AC34*(1+Inputs!$G$46)</f>
        <v>1.5768992641913981</v>
      </c>
      <c r="AE34" s="83">
        <f>AD34*(1+Inputs!$G$46)</f>
        <v>1.6084372494752261</v>
      </c>
      <c r="AF34" s="83">
        <f>AE34*(1+Inputs!$G$46)</f>
        <v>1.6406059944647307</v>
      </c>
      <c r="AG34" s="83">
        <f>AF34*(1+Inputs!$G$46)</f>
        <v>1.6734181143540252</v>
      </c>
      <c r="AH34" s="83">
        <f>AG34*(1+Inputs!$G$46)</f>
        <v>1.7068864766411058</v>
      </c>
      <c r="AI34" s="83">
        <f>AH34*(1+Inputs!$G$46)</f>
        <v>1.7410242061739281</v>
      </c>
      <c r="AJ34" s="83">
        <f>AI34*(1+Inputs!$G$46)</f>
        <v>1.7758446902974065</v>
      </c>
    </row>
    <row r="35" spans="2:36" s="31" customFormat="1" ht="16">
      <c r="B35" s="31" t="s">
        <v>458</v>
      </c>
      <c r="E35" s="76"/>
      <c r="F35" s="747"/>
      <c r="G35" s="320">
        <v>1</v>
      </c>
      <c r="H35" s="83">
        <f>G35*(1+Inputs!$G$48)</f>
        <v>1.02</v>
      </c>
      <c r="I35" s="83">
        <f>H35*(1+Inputs!$G$48)</f>
        <v>1.0404</v>
      </c>
      <c r="J35" s="83">
        <f>I35*(1+Inputs!$G$48)</f>
        <v>1.0612079999999999</v>
      </c>
      <c r="K35" s="83">
        <f>J35*(1+Inputs!$G$48)</f>
        <v>1.08243216</v>
      </c>
      <c r="L35" s="83">
        <f>K35*(1+Inputs!$G$48)</f>
        <v>1.1040808032</v>
      </c>
      <c r="M35" s="83">
        <f>L35*(1+Inputs!$G$48)</f>
        <v>1.1261624192640001</v>
      </c>
      <c r="N35" s="83">
        <f>M35*(1+Inputs!$G$48)</f>
        <v>1.14868566764928</v>
      </c>
      <c r="O35" s="83">
        <f>N35*(1+Inputs!$G$48)</f>
        <v>1.1716593810022657</v>
      </c>
      <c r="P35" s="83">
        <f>O35*(1+Inputs!$G$48)</f>
        <v>1.1950925686223111</v>
      </c>
      <c r="Q35" s="83">
        <f>P35*(1+Inputs!$G$48)</f>
        <v>1.2189944199947573</v>
      </c>
      <c r="R35" s="83">
        <f>Q35*(1+Inputs!$G$48)</f>
        <v>1.2433743083946525</v>
      </c>
      <c r="S35" s="83">
        <f>R35*(1+Inputs!$G$48)</f>
        <v>1.2682417945625455</v>
      </c>
      <c r="T35" s="83">
        <f>S35*(1+Inputs!$G$48)</f>
        <v>1.2936066304537963</v>
      </c>
      <c r="U35" s="83">
        <f>T35*(1+Inputs!$G$48)</f>
        <v>1.3194787630628724</v>
      </c>
      <c r="V35" s="83">
        <f>U35*(1+Inputs!$G$48)</f>
        <v>1.3458683383241299</v>
      </c>
      <c r="W35" s="83">
        <f>V35*(1+Inputs!$G$48)</f>
        <v>1.3727857050906125</v>
      </c>
      <c r="X35" s="83">
        <f>W35*(1+Inputs!$G$48)</f>
        <v>1.4002414191924248</v>
      </c>
      <c r="Y35" s="83">
        <f>X35*(1+Inputs!$G$48)</f>
        <v>1.4282462475762734</v>
      </c>
      <c r="Z35" s="83">
        <f>Y35*(1+Inputs!$G$48)</f>
        <v>1.4568111725277988</v>
      </c>
      <c r="AA35" s="83">
        <f>Z35*(1+Inputs!$G$48)</f>
        <v>1.4859473959783549</v>
      </c>
      <c r="AB35" s="83">
        <f>AA35*(1+Inputs!$G$48)</f>
        <v>1.5156663438979221</v>
      </c>
      <c r="AC35" s="83">
        <f>AB35*(1+Inputs!$G$48)</f>
        <v>1.5459796707758806</v>
      </c>
      <c r="AD35" s="83">
        <f>AC35*(1+Inputs!$G$48)</f>
        <v>1.5768992641913981</v>
      </c>
      <c r="AE35" s="83">
        <f>AD35*(1+Inputs!$G$48)</f>
        <v>1.6084372494752261</v>
      </c>
      <c r="AF35" s="83">
        <f>AE35*(1+Inputs!$G$48)</f>
        <v>1.6406059944647307</v>
      </c>
      <c r="AG35" s="83">
        <f>AF35*(1+Inputs!$G$48)</f>
        <v>1.6734181143540252</v>
      </c>
      <c r="AH35" s="83">
        <f>AG35*(1+Inputs!$G$48)</f>
        <v>1.7068864766411058</v>
      </c>
      <c r="AI35" s="83">
        <f>AH35*(1+Inputs!$G$48)</f>
        <v>1.7410242061739281</v>
      </c>
      <c r="AJ35" s="83">
        <f>AI35*(1+Inputs!$G$48)</f>
        <v>1.7758446902974065</v>
      </c>
    </row>
    <row r="36" spans="2:36" s="31" customFormat="1" ht="16">
      <c r="E36" s="76"/>
      <c r="F36" s="747"/>
      <c r="G36" s="88"/>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row>
    <row r="37" spans="2:36" s="31" customFormat="1" ht="16">
      <c r="B37" s="31" t="s">
        <v>111</v>
      </c>
      <c r="E37" s="76" t="s">
        <v>0</v>
      </c>
      <c r="F37" s="747"/>
      <c r="G37" s="41">
        <f>-IF(G$2&gt;Inputs!$G$18,0,Inputs!$G$34*Inputs!$G$7*G$32)</f>
        <v>-150000</v>
      </c>
      <c r="H37" s="41">
        <f>-IF(H$2&gt;Inputs!$G$18,0,Inputs!$G$34*Inputs!$G$7*H$32)</f>
        <v>-153000</v>
      </c>
      <c r="I37" s="41">
        <f>-IF(I$2&gt;Inputs!$G$18,0,Inputs!$G$34*Inputs!$G$7*I$32)</f>
        <v>-156060</v>
      </c>
      <c r="J37" s="41">
        <f>-IF(J$2&gt;Inputs!$G$18,0,Inputs!$G$34*Inputs!$G$7*J$32)</f>
        <v>-159181.19999999998</v>
      </c>
      <c r="K37" s="41">
        <f>-IF(K$2&gt;Inputs!$G$18,0,Inputs!$G$34*Inputs!$G$7*K$32)</f>
        <v>-162364.82399999999</v>
      </c>
      <c r="L37" s="41">
        <f>-IF(L$2&gt;Inputs!$G$18,0,Inputs!$G$34*Inputs!$G$7*L$32)</f>
        <v>-165612.12048000001</v>
      </c>
      <c r="M37" s="41">
        <f>-IF(M$2&gt;Inputs!$G$18,0,Inputs!$G$34*Inputs!$G$7*M$32)</f>
        <v>-168924.36288960002</v>
      </c>
      <c r="N37" s="41">
        <f>-IF(N$2&gt;Inputs!$G$18,0,Inputs!$G$34*Inputs!$G$7*N$32)</f>
        <v>-172302.85014739202</v>
      </c>
      <c r="O37" s="41">
        <f>-IF(O$2&gt;Inputs!$G$18,0,Inputs!$G$34*Inputs!$G$7*O$32)</f>
        <v>-175748.90715033986</v>
      </c>
      <c r="P37" s="41">
        <f>-IF(P$2&gt;Inputs!$G$18,0,Inputs!$G$34*Inputs!$G$7*P$32)</f>
        <v>-179263.88529334666</v>
      </c>
      <c r="Q37" s="41">
        <f>-IF(Q$2&gt;Inputs!$G$18,0,Inputs!$G$34*Inputs!$G$7*Q$32)</f>
        <v>-182849.16299921359</v>
      </c>
      <c r="R37" s="41">
        <f>-IF(R$2&gt;Inputs!$G$18,0,Inputs!$G$34*Inputs!$G$7*R$32)</f>
        <v>-186506.14625919788</v>
      </c>
      <c r="S37" s="41">
        <f>-IF(S$2&gt;Inputs!$G$18,0,Inputs!$G$34*Inputs!$G$7*S$32)</f>
        <v>-190236.26918438182</v>
      </c>
      <c r="T37" s="41">
        <f>-IF(T$2&gt;Inputs!$G$18,0,Inputs!$G$34*Inputs!$G$7*T$32)</f>
        <v>-194040.99456806944</v>
      </c>
      <c r="U37" s="41">
        <f>-IF(U$2&gt;Inputs!$G$18,0,Inputs!$G$34*Inputs!$G$7*U$32)</f>
        <v>-197921.81445943087</v>
      </c>
      <c r="V37" s="41">
        <f>-IF(V$2&gt;Inputs!$G$18,0,Inputs!$G$34*Inputs!$G$7*V$32)</f>
        <v>-201880.2507486195</v>
      </c>
      <c r="W37" s="41">
        <f>-IF(W$2&gt;Inputs!$G$18,0,Inputs!$G$34*Inputs!$G$7*W$32)</f>
        <v>-205917.85576359188</v>
      </c>
      <c r="X37" s="41">
        <f>-IF(X$2&gt;Inputs!$G$18,0,Inputs!$G$34*Inputs!$G$7*X$32)</f>
        <v>-210036.21287886373</v>
      </c>
      <c r="Y37" s="41">
        <f>-IF(Y$2&gt;Inputs!$G$18,0,Inputs!$G$34*Inputs!$G$7*Y$32)</f>
        <v>-214236.937136441</v>
      </c>
      <c r="Z37" s="41">
        <f>-IF(Z$2&gt;Inputs!$G$18,0,Inputs!$G$34*Inputs!$G$7*Z$32)</f>
        <v>-218521.67587916981</v>
      </c>
      <c r="AA37" s="41">
        <f>-IF(AA$2&gt;Inputs!$G$18,0,Inputs!$G$34*Inputs!$G$7*AA$32)</f>
        <v>0</v>
      </c>
      <c r="AB37" s="41">
        <f>-IF(AB$2&gt;Inputs!$G$18,0,Inputs!$G$34*Inputs!$G$7*AB$32)</f>
        <v>0</v>
      </c>
      <c r="AC37" s="41">
        <f>-IF(AC$2&gt;Inputs!$G$18,0,Inputs!$G$34*Inputs!$G$7*AC$32)</f>
        <v>0</v>
      </c>
      <c r="AD37" s="41">
        <f>-IF(AD$2&gt;Inputs!$G$18,0,Inputs!$G$34*Inputs!$G$7*AD$32)</f>
        <v>0</v>
      </c>
      <c r="AE37" s="41">
        <f>-IF(AE$2&gt;Inputs!$G$18,0,Inputs!$G$34*Inputs!$G$7*AE$32)</f>
        <v>0</v>
      </c>
      <c r="AF37" s="41">
        <f>-IF(AF$2&gt;Inputs!$G$18,0,Inputs!$G$34*Inputs!$G$7*AF$32)</f>
        <v>0</v>
      </c>
      <c r="AG37" s="41">
        <f>-IF(AG$2&gt;Inputs!$G$18,0,Inputs!$G$34*Inputs!$G$7*AG$32)</f>
        <v>0</v>
      </c>
      <c r="AH37" s="41">
        <f>-IF(AH$2&gt;Inputs!$G$18,0,Inputs!$G$34*Inputs!$G$7*AH$32)</f>
        <v>0</v>
      </c>
      <c r="AI37" s="41">
        <f>-IF(AI$2&gt;Inputs!$G$18,0,Inputs!$G$34*Inputs!$G$7*AI$32)</f>
        <v>0</v>
      </c>
      <c r="AJ37" s="41">
        <f>-IF(AJ$2&gt;Inputs!$G$18,0,Inputs!$G$34*Inputs!$G$7*AJ$32)</f>
        <v>0</v>
      </c>
    </row>
    <row r="38" spans="2:36" s="31" customFormat="1" ht="16">
      <c r="B38" s="31" t="s">
        <v>112</v>
      </c>
      <c r="E38" s="76" t="s">
        <v>0</v>
      </c>
      <c r="G38" s="41">
        <f>-IF(G$2&gt;Inputs!$G$18,0,Inputs!$G$35/100*(Inputs!$G$7*Inputs!$G$14*8760)*G$32)</f>
        <v>-120888</v>
      </c>
      <c r="H38" s="41">
        <f>-IF(H$2&gt;Inputs!$G$18,0,Inputs!$G$35/100*(Inputs!$G$7*Inputs!$G$14*8760)*H$32)</f>
        <v>-123305.76000000001</v>
      </c>
      <c r="I38" s="41">
        <f>-IF(I$2&gt;Inputs!$G$18,0,Inputs!$G$35/100*(Inputs!$G$7*Inputs!$G$14*8760)*I$32)</f>
        <v>-125771.87519999999</v>
      </c>
      <c r="J38" s="41">
        <f>-IF(J$2&gt;Inputs!$G$18,0,Inputs!$G$35/100*(Inputs!$G$7*Inputs!$G$14*8760)*J$32)</f>
        <v>-128287.312704</v>
      </c>
      <c r="K38" s="41">
        <f>-IF(K$2&gt;Inputs!$G$18,0,Inputs!$G$35/100*(Inputs!$G$7*Inputs!$G$14*8760)*K$32)</f>
        <v>-130853.05895808</v>
      </c>
      <c r="L38" s="41">
        <f>-IF(L$2&gt;Inputs!$G$18,0,Inputs!$G$35/100*(Inputs!$G$7*Inputs!$G$14*8760)*L$32)</f>
        <v>-133470.12013724161</v>
      </c>
      <c r="M38" s="41">
        <f>-IF(M$2&gt;Inputs!$G$18,0,Inputs!$G$35/100*(Inputs!$G$7*Inputs!$G$14*8760)*M$32)</f>
        <v>-136139.52253998644</v>
      </c>
      <c r="N38" s="41">
        <f>-IF(N$2&gt;Inputs!$G$18,0,Inputs!$G$35/100*(Inputs!$G$7*Inputs!$G$14*8760)*N$32)</f>
        <v>-138862.31299078616</v>
      </c>
      <c r="O38" s="41">
        <f>-IF(O$2&gt;Inputs!$G$18,0,Inputs!$G$35/100*(Inputs!$G$7*Inputs!$G$14*8760)*O$32)</f>
        <v>-141639.55925060189</v>
      </c>
      <c r="P38" s="41">
        <f>-IF(P$2&gt;Inputs!$G$18,0,Inputs!$G$35/100*(Inputs!$G$7*Inputs!$G$14*8760)*P$32)</f>
        <v>-144472.35043561395</v>
      </c>
      <c r="Q38" s="41">
        <f>-IF(Q$2&gt;Inputs!$G$18,0,Inputs!$G$35/100*(Inputs!$G$7*Inputs!$G$14*8760)*Q$32)</f>
        <v>-147361.79744432622</v>
      </c>
      <c r="R38" s="41">
        <f>-IF(R$2&gt;Inputs!$G$18,0,Inputs!$G$35/100*(Inputs!$G$7*Inputs!$G$14*8760)*R$32)</f>
        <v>-150309.03339321274</v>
      </c>
      <c r="S38" s="41">
        <f>-IF(S$2&gt;Inputs!$G$18,0,Inputs!$G$35/100*(Inputs!$G$7*Inputs!$G$14*8760)*S$32)</f>
        <v>-153315.21406107699</v>
      </c>
      <c r="T38" s="41">
        <f>-IF(T$2&gt;Inputs!$G$18,0,Inputs!$G$35/100*(Inputs!$G$7*Inputs!$G$14*8760)*T$32)</f>
        <v>-156381.51834229854</v>
      </c>
      <c r="U38" s="41">
        <f>-IF(U$2&gt;Inputs!$G$18,0,Inputs!$G$35/100*(Inputs!$G$7*Inputs!$G$14*8760)*U$32)</f>
        <v>-159509.1487091445</v>
      </c>
      <c r="V38" s="41">
        <f>-IF(V$2&gt;Inputs!$G$18,0,Inputs!$G$35/100*(Inputs!$G$7*Inputs!$G$14*8760)*V$32)</f>
        <v>-162699.33168332741</v>
      </c>
      <c r="W38" s="41">
        <f>-IF(W$2&gt;Inputs!$G$18,0,Inputs!$G$35/100*(Inputs!$G$7*Inputs!$G$14*8760)*W$32)</f>
        <v>-165953.31831699397</v>
      </c>
      <c r="X38" s="41">
        <f>-IF(X$2&gt;Inputs!$G$18,0,Inputs!$G$35/100*(Inputs!$G$7*Inputs!$G$14*8760)*X$32)</f>
        <v>-169272.38468333386</v>
      </c>
      <c r="Y38" s="41">
        <f>-IF(Y$2&gt;Inputs!$G$18,0,Inputs!$G$35/100*(Inputs!$G$7*Inputs!$G$14*8760)*Y$32)</f>
        <v>-172657.83237700054</v>
      </c>
      <c r="Z38" s="41">
        <f>-IF(Z$2&gt;Inputs!$G$18,0,Inputs!$G$35/100*(Inputs!$G$7*Inputs!$G$14*8760)*Z$32)</f>
        <v>-176110.98902454053</v>
      </c>
      <c r="AA38" s="41">
        <f>-IF(AA$2&gt;Inputs!$G$18,0,Inputs!$G$35/100*(Inputs!$G$7*Inputs!$G$14*8760)*AA$32)</f>
        <v>0</v>
      </c>
      <c r="AB38" s="41">
        <f>-IF(AB$2&gt;Inputs!$G$18,0,Inputs!$G$35/100*(Inputs!$G$7*Inputs!$G$14*8760)*AB$32)</f>
        <v>0</v>
      </c>
      <c r="AC38" s="41">
        <f>-IF(AC$2&gt;Inputs!$G$18,0,Inputs!$G$35/100*(Inputs!$G$7*Inputs!$G$14*8760)*AC$32)</f>
        <v>0</v>
      </c>
      <c r="AD38" s="41">
        <f>-IF(AD$2&gt;Inputs!$G$18,0,Inputs!$G$35/100*(Inputs!$G$7*Inputs!$G$14*8760)*AD$32)</f>
        <v>0</v>
      </c>
      <c r="AE38" s="41">
        <f>-IF(AE$2&gt;Inputs!$G$18,0,Inputs!$G$35/100*(Inputs!$G$7*Inputs!$G$14*8760)*AE$32)</f>
        <v>0</v>
      </c>
      <c r="AF38" s="41">
        <f>-IF(AF$2&gt;Inputs!$G$18,0,Inputs!$G$35/100*(Inputs!$G$7*Inputs!$G$14*8760)*AF$32)</f>
        <v>0</v>
      </c>
      <c r="AG38" s="41">
        <f>-IF(AG$2&gt;Inputs!$G$18,0,Inputs!$G$35/100*(Inputs!$G$7*Inputs!$G$14*8760)*AG$32)</f>
        <v>0</v>
      </c>
      <c r="AH38" s="41">
        <f>-IF(AH$2&gt;Inputs!$G$18,0,Inputs!$G$35/100*(Inputs!$G$7*Inputs!$G$14*8760)*AH$32)</f>
        <v>0</v>
      </c>
      <c r="AI38" s="41">
        <f>-IF(AI$2&gt;Inputs!$G$18,0,Inputs!$G$35/100*(Inputs!$G$7*Inputs!$G$14*8760)*AI$32)</f>
        <v>0</v>
      </c>
      <c r="AJ38" s="41">
        <f>-IF(AJ$2&gt;Inputs!$G$18,0,Inputs!$G$35/100*(Inputs!$G$7*Inputs!$G$14*8760)*AJ$32)</f>
        <v>0</v>
      </c>
    </row>
    <row r="39" spans="2:36" s="31" customFormat="1" ht="16">
      <c r="B39" s="31" t="s">
        <v>70</v>
      </c>
      <c r="E39" s="76" t="s">
        <v>0</v>
      </c>
      <c r="G39" s="41">
        <f>-IF(Inputs!$G$33="simple",0,IF(G$2&gt;Inputs!$G$18,0,Inputs!$G$40*G$32))</f>
        <v>-15000</v>
      </c>
      <c r="H39" s="41">
        <f>-IF(Inputs!$G$33="simple",0,IF(H$2&gt;Inputs!$G$18,0,Inputs!$G$40*H$32))</f>
        <v>-15300</v>
      </c>
      <c r="I39" s="41">
        <f>-IF(Inputs!$G$33="simple",0,IF(I$2&gt;Inputs!$G$18,0,Inputs!$G$40*I$32))</f>
        <v>-15606</v>
      </c>
      <c r="J39" s="41">
        <f>-IF(Inputs!$G$33="simple",0,IF(J$2&gt;Inputs!$G$18,0,Inputs!$G$40*J$32))</f>
        <v>-15918.119999999999</v>
      </c>
      <c r="K39" s="41">
        <f>-IF(Inputs!$G$33="simple",0,IF(K$2&gt;Inputs!$G$18,0,Inputs!$G$40*K$32))</f>
        <v>-16236.482399999999</v>
      </c>
      <c r="L39" s="41">
        <f>-IF(Inputs!$G$33="simple",0,IF(L$2&gt;Inputs!$G$18,0,Inputs!$G$40*L$32))</f>
        <v>-16561.212048000001</v>
      </c>
      <c r="M39" s="41">
        <f>-IF(Inputs!$G$33="simple",0,IF(M$2&gt;Inputs!$G$18,0,Inputs!$G$40*M$32))</f>
        <v>-16892.436288960002</v>
      </c>
      <c r="N39" s="41">
        <f>-IF(Inputs!$G$33="simple",0,IF(N$2&gt;Inputs!$G$18,0,Inputs!$G$40*N$32))</f>
        <v>-17230.285014739202</v>
      </c>
      <c r="O39" s="41">
        <f>-IF(Inputs!$G$33="simple",0,IF(O$2&gt;Inputs!$G$18,0,Inputs!$G$40*O$32))</f>
        <v>-17574.890715033987</v>
      </c>
      <c r="P39" s="41">
        <f>-IF(Inputs!$G$33="simple",0,IF(P$2&gt;Inputs!$G$18,0,Inputs!$G$40*P$32))</f>
        <v>-17926.388529334665</v>
      </c>
      <c r="Q39" s="41">
        <f>-IF(Inputs!$G$33="simple",0,IF(Q$2&gt;Inputs!$G$18,0,Inputs!$G$40*Q$32))</f>
        <v>-18284.916299921359</v>
      </c>
      <c r="R39" s="41">
        <f>-IF(Inputs!$G$33="simple",0,IF(R$2&gt;Inputs!$G$18,0,Inputs!$G$40*R$32))</f>
        <v>-18650.614625919789</v>
      </c>
      <c r="S39" s="41">
        <f>-IF(Inputs!$G$33="simple",0,IF(S$2&gt;Inputs!$G$18,0,Inputs!$G$40*S$32))</f>
        <v>-19023.626918438182</v>
      </c>
      <c r="T39" s="41">
        <f>-IF(Inputs!$G$33="simple",0,IF(T$2&gt;Inputs!$G$18,0,Inputs!$G$40*T$32))</f>
        <v>-19404.099456806944</v>
      </c>
      <c r="U39" s="41">
        <f>-IF(Inputs!$G$33="simple",0,IF(U$2&gt;Inputs!$G$18,0,Inputs!$G$40*U$32))</f>
        <v>-19792.181445943086</v>
      </c>
      <c r="V39" s="41">
        <f>-IF(Inputs!$G$33="simple",0,IF(V$2&gt;Inputs!$G$18,0,Inputs!$G$40*V$32))</f>
        <v>-20188.025074861947</v>
      </c>
      <c r="W39" s="41">
        <f>-IF(Inputs!$G$33="simple",0,IF(W$2&gt;Inputs!$G$18,0,Inputs!$G$40*W$32))</f>
        <v>-20591.785576359187</v>
      </c>
      <c r="X39" s="41">
        <f>-IF(Inputs!$G$33="simple",0,IF(X$2&gt;Inputs!$G$18,0,Inputs!$G$40*X$32))</f>
        <v>-21003.621287886373</v>
      </c>
      <c r="Y39" s="41">
        <f>-IF(Inputs!$G$33="simple",0,IF(Y$2&gt;Inputs!$G$18,0,Inputs!$G$40*Y$32))</f>
        <v>-21423.693713644101</v>
      </c>
      <c r="Z39" s="41">
        <f>-IF(Inputs!$G$33="simple",0,IF(Z$2&gt;Inputs!$G$18,0,Inputs!$G$40*Z$32))</f>
        <v>-21852.167587916982</v>
      </c>
      <c r="AA39" s="41">
        <f>-IF(Inputs!$G$33="simple",0,IF(AA$2&gt;Inputs!$G$18,0,Inputs!$G$40*AA$32))</f>
        <v>0</v>
      </c>
      <c r="AB39" s="41">
        <f>-IF(Inputs!$G$33="simple",0,IF(AB$2&gt;Inputs!$G$18,0,Inputs!$G$40*AB$32))</f>
        <v>0</v>
      </c>
      <c r="AC39" s="41">
        <f>-IF(Inputs!$G$33="simple",0,IF(AC$2&gt;Inputs!$G$18,0,Inputs!$G$40*AC$32))</f>
        <v>0</v>
      </c>
      <c r="AD39" s="41">
        <f>-IF(Inputs!$G$33="simple",0,IF(AD$2&gt;Inputs!$G$18,0,Inputs!$G$40*AD$32))</f>
        <v>0</v>
      </c>
      <c r="AE39" s="41">
        <f>-IF(Inputs!$G$33="simple",0,IF(AE$2&gt;Inputs!$G$18,0,Inputs!$G$40*AE$32))</f>
        <v>0</v>
      </c>
      <c r="AF39" s="41">
        <f>-IF(Inputs!$G$33="simple",0,IF(AF$2&gt;Inputs!$G$18,0,Inputs!$G$40*AF$32))</f>
        <v>0</v>
      </c>
      <c r="AG39" s="41">
        <f>-IF(Inputs!$G$33="simple",0,IF(AG$2&gt;Inputs!$G$18,0,Inputs!$G$40*AG$32))</f>
        <v>0</v>
      </c>
      <c r="AH39" s="41">
        <f>-IF(Inputs!$G$33="simple",0,IF(AH$2&gt;Inputs!$G$18,0,Inputs!$G$40*AH$32))</f>
        <v>0</v>
      </c>
      <c r="AI39" s="41">
        <f>-IF(Inputs!$G$33="simple",0,IF(AI$2&gt;Inputs!$G$18,0,Inputs!$G$40*AI$32))</f>
        <v>0</v>
      </c>
      <c r="AJ39" s="41">
        <f>-IF(Inputs!$G$33="simple",0,IF(AJ$2&gt;Inputs!$G$18,0,Inputs!$G$40*AJ$32))</f>
        <v>0</v>
      </c>
    </row>
    <row r="40" spans="2:36" s="31" customFormat="1" ht="16">
      <c r="B40" s="31" t="s">
        <v>69</v>
      </c>
      <c r="E40" s="76" t="s">
        <v>0</v>
      </c>
      <c r="G40" s="41">
        <f>-IF(Inputs!$G$33="simple",0,IF(G$2&gt;Inputs!$G$18,0,Inputs!$G$41*G$32))</f>
        <v>-30000</v>
      </c>
      <c r="H40" s="41">
        <f>-IF(Inputs!$G$33="simple",0,IF(H$2&gt;Inputs!$G$18,0,Inputs!$G$41*H$32))</f>
        <v>-30600</v>
      </c>
      <c r="I40" s="41">
        <f>-IF(Inputs!$G$33="simple",0,IF(I$2&gt;Inputs!$G$18,0,Inputs!$G$41*I$32))</f>
        <v>-31212</v>
      </c>
      <c r="J40" s="41">
        <f>-IF(Inputs!$G$33="simple",0,IF(J$2&gt;Inputs!$G$18,0,Inputs!$G$41*J$32))</f>
        <v>-31836.239999999998</v>
      </c>
      <c r="K40" s="41">
        <f>-IF(Inputs!$G$33="simple",0,IF(K$2&gt;Inputs!$G$18,0,Inputs!$G$41*K$32))</f>
        <v>-32472.964799999998</v>
      </c>
      <c r="L40" s="41">
        <f>-IF(Inputs!$G$33="simple",0,IF(L$2&gt;Inputs!$G$18,0,Inputs!$G$41*L$32))</f>
        <v>-33122.424096000002</v>
      </c>
      <c r="M40" s="41">
        <f>-IF(Inputs!$G$33="simple",0,IF(M$2&gt;Inputs!$G$18,0,Inputs!$G$41*M$32))</f>
        <v>-33784.872577920003</v>
      </c>
      <c r="N40" s="41">
        <f>-IF(Inputs!$G$33="simple",0,IF(N$2&gt;Inputs!$G$18,0,Inputs!$G$41*N$32))</f>
        <v>-34460.570029478404</v>
      </c>
      <c r="O40" s="41">
        <f>-IF(Inputs!$G$33="simple",0,IF(O$2&gt;Inputs!$G$18,0,Inputs!$G$41*O$32))</f>
        <v>-35149.781430067975</v>
      </c>
      <c r="P40" s="41">
        <f>-IF(Inputs!$G$33="simple",0,IF(P$2&gt;Inputs!$G$18,0,Inputs!$G$41*P$32))</f>
        <v>-35852.77705866933</v>
      </c>
      <c r="Q40" s="41">
        <f>-IF(Inputs!$G$33="simple",0,IF(Q$2&gt;Inputs!$G$18,0,Inputs!$G$41*Q$32))</f>
        <v>-36569.832599842717</v>
      </c>
      <c r="R40" s="41">
        <f>-IF(Inputs!$G$33="simple",0,IF(R$2&gt;Inputs!$G$18,0,Inputs!$G$41*R$32))</f>
        <v>-37301.229251839577</v>
      </c>
      <c r="S40" s="41">
        <f>-IF(Inputs!$G$33="simple",0,IF(S$2&gt;Inputs!$G$18,0,Inputs!$G$41*S$32))</f>
        <v>-38047.253836876363</v>
      </c>
      <c r="T40" s="41">
        <f>-IF(Inputs!$G$33="simple",0,IF(T$2&gt;Inputs!$G$18,0,Inputs!$G$41*T$32))</f>
        <v>-38808.198913613887</v>
      </c>
      <c r="U40" s="41">
        <f>-IF(Inputs!$G$33="simple",0,IF(U$2&gt;Inputs!$G$18,0,Inputs!$G$41*U$32))</f>
        <v>-39584.362891886172</v>
      </c>
      <c r="V40" s="41">
        <f>-IF(Inputs!$G$33="simple",0,IF(V$2&gt;Inputs!$G$18,0,Inputs!$G$41*V$32))</f>
        <v>-40376.050149723895</v>
      </c>
      <c r="W40" s="41">
        <f>-IF(Inputs!$G$33="simple",0,IF(W$2&gt;Inputs!$G$18,0,Inputs!$G$41*W$32))</f>
        <v>-41183.571152718374</v>
      </c>
      <c r="X40" s="41">
        <f>-IF(Inputs!$G$33="simple",0,IF(X$2&gt;Inputs!$G$18,0,Inputs!$G$41*X$32))</f>
        <v>-42007.242575772747</v>
      </c>
      <c r="Y40" s="41">
        <f>-IF(Inputs!$G$33="simple",0,IF(Y$2&gt;Inputs!$G$18,0,Inputs!$G$41*Y$32))</f>
        <v>-42847.387427288202</v>
      </c>
      <c r="Z40" s="41">
        <f>-IF(Inputs!$G$33="simple",0,IF(Z$2&gt;Inputs!$G$18,0,Inputs!$G$41*Z$32))</f>
        <v>-43704.335175833963</v>
      </c>
      <c r="AA40" s="41">
        <f>-IF(Inputs!$G$33="simple",0,IF(AA$2&gt;Inputs!$G$18,0,Inputs!$G$41*AA$32))</f>
        <v>0</v>
      </c>
      <c r="AB40" s="41">
        <f>-IF(Inputs!$G$33="simple",0,IF(AB$2&gt;Inputs!$G$18,0,Inputs!$G$41*AB$32))</f>
        <v>0</v>
      </c>
      <c r="AC40" s="41">
        <f>-IF(Inputs!$G$33="simple",0,IF(AC$2&gt;Inputs!$G$18,0,Inputs!$G$41*AC$32))</f>
        <v>0</v>
      </c>
      <c r="AD40" s="41">
        <f>-IF(Inputs!$G$33="simple",0,IF(AD$2&gt;Inputs!$G$18,0,Inputs!$G$41*AD$32))</f>
        <v>0</v>
      </c>
      <c r="AE40" s="41">
        <f>-IF(Inputs!$G$33="simple",0,IF(AE$2&gt;Inputs!$G$18,0,Inputs!$G$41*AE$32))</f>
        <v>0</v>
      </c>
      <c r="AF40" s="41">
        <f>-IF(Inputs!$G$33="simple",0,IF(AF$2&gt;Inputs!$G$18,0,Inputs!$G$41*AF$32))</f>
        <v>0</v>
      </c>
      <c r="AG40" s="41">
        <f>-IF(Inputs!$G$33="simple",0,IF(AG$2&gt;Inputs!$G$18,0,Inputs!$G$41*AG$32))</f>
        <v>0</v>
      </c>
      <c r="AH40" s="41">
        <f>-IF(Inputs!$G$33="simple",0,IF(AH$2&gt;Inputs!$G$18,0,Inputs!$G$41*AH$32))</f>
        <v>0</v>
      </c>
      <c r="AI40" s="41">
        <f>-IF(Inputs!$G$33="simple",0,IF(AI$2&gt;Inputs!$G$18,0,Inputs!$G$41*AI$32))</f>
        <v>0</v>
      </c>
      <c r="AJ40" s="41">
        <f>-IF(Inputs!$G$33="simple",0,IF(AJ$2&gt;Inputs!$G$18,0,Inputs!$G$41*AJ$32))</f>
        <v>0</v>
      </c>
    </row>
    <row r="41" spans="2:36" s="31" customFormat="1" ht="16">
      <c r="B41" s="31" t="s">
        <v>463</v>
      </c>
      <c r="E41" s="76" t="s">
        <v>0</v>
      </c>
      <c r="G41" s="41">
        <f>-IF(Inputs!$G$33="simple",0,IF(G$2&gt;Inputs!$G$18,0,(Inputs!$G$42*G$33)*Inputs!$G$44))</f>
        <v>0</v>
      </c>
      <c r="H41" s="41">
        <f>-IF(Inputs!$G$33="simple",0,IF(H$2&gt;Inputs!$G$18,0,(Inputs!$G$42*H$33)*Inputs!$G$44))</f>
        <v>0</v>
      </c>
      <c r="I41" s="41">
        <f>-IF(Inputs!$G$33="simple",0,IF(I$2&gt;Inputs!$G$18,0,(Inputs!$G$42*I$33)*Inputs!$G$44))</f>
        <v>0</v>
      </c>
      <c r="J41" s="41">
        <f>-IF(Inputs!$G$33="simple",0,IF(J$2&gt;Inputs!$G$18,0,(Inputs!$G$42*J$33)*Inputs!$G$44))</f>
        <v>0</v>
      </c>
      <c r="K41" s="41">
        <f>-IF(Inputs!$G$33="simple",0,IF(K$2&gt;Inputs!$G$18,0,(Inputs!$G$42*K$33)*Inputs!$G$44))</f>
        <v>0</v>
      </c>
      <c r="L41" s="41">
        <f>-IF(Inputs!$G$33="simple",0,IF(L$2&gt;Inputs!$G$18,0,(Inputs!$G$42*L$33)*Inputs!$G$44))</f>
        <v>0</v>
      </c>
      <c r="M41" s="41">
        <f>-IF(Inputs!$G$33="simple",0,IF(M$2&gt;Inputs!$G$18,0,(Inputs!$G$42*M$33)*Inputs!$G$44))</f>
        <v>0</v>
      </c>
      <c r="N41" s="41">
        <f>-IF(Inputs!$G$33="simple",0,IF(N$2&gt;Inputs!$G$18,0,(Inputs!$G$42*N$33)*Inputs!$G$44))</f>
        <v>0</v>
      </c>
      <c r="O41" s="41">
        <f>-IF(Inputs!$G$33="simple",0,IF(O$2&gt;Inputs!$G$18,0,(Inputs!$G$42*O$33)*Inputs!$G$44))</f>
        <v>0</v>
      </c>
      <c r="P41" s="41">
        <f>-IF(Inputs!$G$33="simple",0,IF(P$2&gt;Inputs!$G$18,0,(Inputs!$G$42*P$33)*Inputs!$G$44))</f>
        <v>0</v>
      </c>
      <c r="Q41" s="41">
        <f>-IF(Inputs!$G$33="simple",0,IF(Q$2&gt;Inputs!$G$18,0,(Inputs!$G$42*Q$33)*Inputs!$G$44))</f>
        <v>0</v>
      </c>
      <c r="R41" s="41">
        <f>-IF(Inputs!$G$33="simple",0,IF(R$2&gt;Inputs!$G$18,0,(Inputs!$G$42*R$33)*Inputs!$G$44))</f>
        <v>0</v>
      </c>
      <c r="S41" s="41">
        <f>-IF(Inputs!$G$33="simple",0,IF(S$2&gt;Inputs!$G$18,0,(Inputs!$G$42*S$33)*Inputs!$G$44))</f>
        <v>0</v>
      </c>
      <c r="T41" s="41">
        <f>-IF(Inputs!$G$33="simple",0,IF(T$2&gt;Inputs!$G$18,0,(Inputs!$G$42*T$33)*Inputs!$G$44))</f>
        <v>0</v>
      </c>
      <c r="U41" s="41">
        <f>-IF(Inputs!$G$33="simple",0,IF(U$2&gt;Inputs!$G$18,0,(Inputs!$G$42*U$33)*Inputs!$G$44))</f>
        <v>0</v>
      </c>
      <c r="V41" s="41">
        <f>-IF(Inputs!$G$33="simple",0,IF(V$2&gt;Inputs!$G$18,0,(Inputs!$G$42*V$33)*Inputs!$G$44))</f>
        <v>0</v>
      </c>
      <c r="W41" s="41">
        <f>-IF(Inputs!$G$33="simple",0,IF(W$2&gt;Inputs!$G$18,0,(Inputs!$G$42*W$33)*Inputs!$G$44))</f>
        <v>0</v>
      </c>
      <c r="X41" s="41">
        <f>-IF(Inputs!$G$33="simple",0,IF(X$2&gt;Inputs!$G$18,0,(Inputs!$G$42*X$33)*Inputs!$G$44))</f>
        <v>0</v>
      </c>
      <c r="Y41" s="41">
        <f>-IF(Inputs!$G$33="simple",0,IF(Y$2&gt;Inputs!$G$18,0,(Inputs!$G$42*Y$33)*Inputs!$G$44))</f>
        <v>0</v>
      </c>
      <c r="Z41" s="41">
        <f>-IF(Inputs!$G$33="simple",0,IF(Z$2&gt;Inputs!$G$18,0,(Inputs!$G$42*Z$33)*Inputs!$G$44))</f>
        <v>0</v>
      </c>
      <c r="AA41" s="41">
        <f>-IF(Inputs!$G$33="simple",0,IF(AA$2&gt;Inputs!$G$18,0,(Inputs!$G$42*AA$33)*Inputs!$G$44))</f>
        <v>0</v>
      </c>
      <c r="AB41" s="41">
        <f>-IF(Inputs!$G$33="simple",0,IF(AB$2&gt;Inputs!$G$18,0,(Inputs!$G$42*AB$33)*Inputs!$G$44))</f>
        <v>0</v>
      </c>
      <c r="AC41" s="41">
        <f>-IF(Inputs!$G$33="simple",0,IF(AC$2&gt;Inputs!$G$18,0,(Inputs!$G$42*AC$33)*Inputs!$G$44))</f>
        <v>0</v>
      </c>
      <c r="AD41" s="41">
        <f>-IF(Inputs!$G$33="simple",0,IF(AD$2&gt;Inputs!$G$18,0,(Inputs!$G$42*AD$33)*Inputs!$G$44))</f>
        <v>0</v>
      </c>
      <c r="AE41" s="41">
        <f>-IF(Inputs!$G$33="simple",0,IF(AE$2&gt;Inputs!$G$18,0,(Inputs!$G$42*AE$33)*Inputs!$G$44))</f>
        <v>0</v>
      </c>
      <c r="AF41" s="41">
        <f>-IF(Inputs!$G$33="simple",0,IF(AF$2&gt;Inputs!$G$18,0,(Inputs!$G$42*AF$33)*Inputs!$G$44))</f>
        <v>0</v>
      </c>
      <c r="AG41" s="41">
        <f>-IF(Inputs!$G$33="simple",0,IF(AG$2&gt;Inputs!$G$18,0,(Inputs!$G$42*AG$33)*Inputs!$G$44))</f>
        <v>0</v>
      </c>
      <c r="AH41" s="41">
        <f>-IF(Inputs!$G$33="simple",0,IF(AH$2&gt;Inputs!$G$18,0,(Inputs!$G$42*AH$33)*Inputs!$G$44))</f>
        <v>0</v>
      </c>
      <c r="AI41" s="41">
        <f>-IF(Inputs!$G$33="simple",0,IF(AI$2&gt;Inputs!$G$18,0,(Inputs!$G$42*AI$33)*Inputs!$G$44))</f>
        <v>0</v>
      </c>
      <c r="AJ41" s="41">
        <f>-IF(Inputs!$G$33="simple",0,IF(AJ$2&gt;Inputs!$G$18,0,(Inputs!$G$42*AJ$33)*Inputs!$G$44))</f>
        <v>0</v>
      </c>
    </row>
    <row r="42" spans="2:36" s="31" customFormat="1" ht="16">
      <c r="B42" s="31" t="s">
        <v>449</v>
      </c>
      <c r="E42" s="76" t="s">
        <v>0</v>
      </c>
      <c r="G42" s="41">
        <f>-IF(Inputs!$G$33="simple",0,IF(G$2&gt;Inputs!$G$18,0,Inputs!$G$45*G$34))</f>
        <v>-10000</v>
      </c>
      <c r="H42" s="41">
        <f>-IF(Inputs!$G$33="simple",0,IF(H$2&gt;Inputs!$G$18,0,Inputs!$G$45*H$34))</f>
        <v>-10200</v>
      </c>
      <c r="I42" s="41">
        <f>-IF(Inputs!$G$33="simple",0,IF(I$2&gt;Inputs!$G$18,0,Inputs!$G$45*I$34))</f>
        <v>-10404</v>
      </c>
      <c r="J42" s="41">
        <f>-IF(Inputs!$G$33="simple",0,IF(J$2&gt;Inputs!$G$18,0,Inputs!$G$45*J$34))</f>
        <v>-10612.08</v>
      </c>
      <c r="K42" s="41">
        <f>-IF(Inputs!$G$33="simple",0,IF(K$2&gt;Inputs!$G$18,0,Inputs!$G$45*K$34))</f>
        <v>-10824.321599999999</v>
      </c>
      <c r="L42" s="41">
        <f>-IF(Inputs!$G$33="simple",0,IF(L$2&gt;Inputs!$G$18,0,Inputs!$G$45*L$34))</f>
        <v>-11040.808032000001</v>
      </c>
      <c r="M42" s="41">
        <f>-IF(Inputs!$G$33="simple",0,IF(M$2&gt;Inputs!$G$18,0,Inputs!$G$45*M$34))</f>
        <v>-11261.62419264</v>
      </c>
      <c r="N42" s="41">
        <f>-IF(Inputs!$G$33="simple",0,IF(N$2&gt;Inputs!$G$18,0,Inputs!$G$45*N$34))</f>
        <v>-11486.8566764928</v>
      </c>
      <c r="O42" s="41">
        <f>-IF(Inputs!$G$33="simple",0,IF(O$2&gt;Inputs!$G$18,0,Inputs!$G$45*O$34))</f>
        <v>-11716.593810022658</v>
      </c>
      <c r="P42" s="41">
        <f>-IF(Inputs!$G$33="simple",0,IF(P$2&gt;Inputs!$G$18,0,Inputs!$G$45*P$34))</f>
        <v>-11950.92568622311</v>
      </c>
      <c r="Q42" s="41">
        <f>-IF(Inputs!$G$33="simple",0,IF(Q$2&gt;Inputs!$G$18,0,Inputs!$G$45*Q$34))</f>
        <v>-12189.944199947573</v>
      </c>
      <c r="R42" s="41">
        <f>-IF(Inputs!$G$33="simple",0,IF(R$2&gt;Inputs!$G$18,0,Inputs!$G$45*R$34))</f>
        <v>-12433.743083946525</v>
      </c>
      <c r="S42" s="41">
        <f>-IF(Inputs!$G$33="simple",0,IF(S$2&gt;Inputs!$G$18,0,Inputs!$G$45*S$34))</f>
        <v>-12682.417945625455</v>
      </c>
      <c r="T42" s="41">
        <f>-IF(Inputs!$G$33="simple",0,IF(T$2&gt;Inputs!$G$18,0,Inputs!$G$45*T$34))</f>
        <v>-12936.066304537962</v>
      </c>
      <c r="U42" s="41">
        <f>-IF(Inputs!$G$33="simple",0,IF(U$2&gt;Inputs!$G$18,0,Inputs!$G$45*U$34))</f>
        <v>-13194.787630628723</v>
      </c>
      <c r="V42" s="41">
        <f>-IF(Inputs!$G$33="simple",0,IF(V$2&gt;Inputs!$G$18,0,Inputs!$G$45*V$34))</f>
        <v>-13458.683383241299</v>
      </c>
      <c r="W42" s="41">
        <f>-IF(Inputs!$G$33="simple",0,IF(W$2&gt;Inputs!$G$18,0,Inputs!$G$45*W$34))</f>
        <v>-13727.857050906125</v>
      </c>
      <c r="X42" s="41">
        <f>-IF(Inputs!$G$33="simple",0,IF(X$2&gt;Inputs!$G$18,0,Inputs!$G$45*X$34))</f>
        <v>-14002.414191924248</v>
      </c>
      <c r="Y42" s="41">
        <f>-IF(Inputs!$G$33="simple",0,IF(Y$2&gt;Inputs!$G$18,0,Inputs!$G$45*Y$34))</f>
        <v>-14282.462475762733</v>
      </c>
      <c r="Z42" s="41">
        <f>-IF(Inputs!$G$33="simple",0,IF(Z$2&gt;Inputs!$G$18,0,Inputs!$G$45*Z$34))</f>
        <v>-14568.111725277988</v>
      </c>
      <c r="AA42" s="41">
        <f>-IF(Inputs!$G$33="simple",0,IF(AA$2&gt;Inputs!$G$18,0,Inputs!$G$45*AA$34))</f>
        <v>0</v>
      </c>
      <c r="AB42" s="41">
        <f>-IF(Inputs!$G$33="simple",0,IF(AB$2&gt;Inputs!$G$18,0,Inputs!$G$45*AB$34))</f>
        <v>0</v>
      </c>
      <c r="AC42" s="41">
        <f>-IF(Inputs!$G$33="simple",0,IF(AC$2&gt;Inputs!$G$18,0,Inputs!$G$45*AC$34))</f>
        <v>0</v>
      </c>
      <c r="AD42" s="41">
        <f>-IF(Inputs!$G$33="simple",0,IF(AD$2&gt;Inputs!$G$18,0,Inputs!$G$45*AD$34))</f>
        <v>0</v>
      </c>
      <c r="AE42" s="41">
        <f>-IF(Inputs!$G$33="simple",0,IF(AE$2&gt;Inputs!$G$18,0,Inputs!$G$45*AE$34))</f>
        <v>0</v>
      </c>
      <c r="AF42" s="41">
        <f>-IF(Inputs!$G$33="simple",0,IF(AF$2&gt;Inputs!$G$18,0,Inputs!$G$45*AF$34))</f>
        <v>0</v>
      </c>
      <c r="AG42" s="41">
        <f>-IF(Inputs!$G$33="simple",0,IF(AG$2&gt;Inputs!$G$18,0,Inputs!$G$45*AG$34))</f>
        <v>0</v>
      </c>
      <c r="AH42" s="41">
        <f>-IF(Inputs!$G$33="simple",0,IF(AH$2&gt;Inputs!$G$18,0,Inputs!$G$45*AH$34))</f>
        <v>0</v>
      </c>
      <c r="AI42" s="41">
        <f>-IF(Inputs!$G$33="simple",0,IF(AI$2&gt;Inputs!$G$18,0,Inputs!$G$45*AI$34))</f>
        <v>0</v>
      </c>
      <c r="AJ42" s="41">
        <f>-IF(Inputs!$G$33="simple",0,IF(AJ$2&gt;Inputs!$G$18,0,Inputs!$G$45*AJ$34))</f>
        <v>0</v>
      </c>
    </row>
    <row r="43" spans="2:36" s="31" customFormat="1" ht="16">
      <c r="B43" s="31" t="s">
        <v>457</v>
      </c>
      <c r="E43" s="76" t="s">
        <v>0</v>
      </c>
      <c r="G43" s="41">
        <f>-IF(Inputs!$G$33="simple",0,IF(G$2&gt;Inputs!$G$18,0,(Inputs!$G$47*G$34)*Inputs!$G$49))</f>
        <v>0</v>
      </c>
      <c r="H43" s="41">
        <f>-IF(Inputs!$G$33="simple",0,IF(H$2&gt;Inputs!$G$18,0,(Inputs!$G$47*H$34)*Inputs!$G$49))</f>
        <v>0</v>
      </c>
      <c r="I43" s="41">
        <f>-IF(Inputs!$G$33="simple",0,IF(I$2&gt;Inputs!$G$18,0,(Inputs!$G$47*I$34)*Inputs!$G$49))</f>
        <v>0</v>
      </c>
      <c r="J43" s="41">
        <f>-IF(Inputs!$G$33="simple",0,IF(J$2&gt;Inputs!$G$18,0,(Inputs!$G$47*J$34)*Inputs!$G$49))</f>
        <v>0</v>
      </c>
      <c r="K43" s="41">
        <f>-IF(Inputs!$G$33="simple",0,IF(K$2&gt;Inputs!$G$18,0,(Inputs!$G$47*K$34)*Inputs!$G$49))</f>
        <v>0</v>
      </c>
      <c r="L43" s="41">
        <f>-IF(Inputs!$G$33="simple",0,IF(L$2&gt;Inputs!$G$18,0,(Inputs!$G$47*L$34)*Inputs!$G$49))</f>
        <v>0</v>
      </c>
      <c r="M43" s="41">
        <f>-IF(Inputs!$G$33="simple",0,IF(M$2&gt;Inputs!$G$18,0,(Inputs!$G$47*M$34)*Inputs!$G$49))</f>
        <v>0</v>
      </c>
      <c r="N43" s="41">
        <f>-IF(Inputs!$G$33="simple",0,IF(N$2&gt;Inputs!$G$18,0,(Inputs!$G$47*N$34)*Inputs!$G$49))</f>
        <v>0</v>
      </c>
      <c r="O43" s="41">
        <f>-IF(Inputs!$G$33="simple",0,IF(O$2&gt;Inputs!$G$18,0,(Inputs!$G$47*O$34)*Inputs!$G$49))</f>
        <v>0</v>
      </c>
      <c r="P43" s="41">
        <f>-IF(Inputs!$G$33="simple",0,IF(P$2&gt;Inputs!$G$18,0,(Inputs!$G$47*P$34)*Inputs!$G$49))</f>
        <v>0</v>
      </c>
      <c r="Q43" s="41">
        <f>-IF(Inputs!$G$33="simple",0,IF(Q$2&gt;Inputs!$G$18,0,(Inputs!$G$47*Q$34)*Inputs!$G$49))</f>
        <v>0</v>
      </c>
      <c r="R43" s="41">
        <f>-IF(Inputs!$G$33="simple",0,IF(R$2&gt;Inputs!$G$18,0,(Inputs!$G$47*R$34)*Inputs!$G$49))</f>
        <v>0</v>
      </c>
      <c r="S43" s="41">
        <f>-IF(Inputs!$G$33="simple",0,IF(S$2&gt;Inputs!$G$18,0,(Inputs!$G$47*S$34)*Inputs!$G$49))</f>
        <v>0</v>
      </c>
      <c r="T43" s="41">
        <f>-IF(Inputs!$G$33="simple",0,IF(T$2&gt;Inputs!$G$18,0,(Inputs!$G$47*T$34)*Inputs!$G$49))</f>
        <v>0</v>
      </c>
      <c r="U43" s="41">
        <f>-IF(Inputs!$G$33="simple",0,IF(U$2&gt;Inputs!$G$18,0,(Inputs!$G$47*U$34)*Inputs!$G$49))</f>
        <v>0</v>
      </c>
      <c r="V43" s="41">
        <f>-IF(Inputs!$G$33="simple",0,IF(V$2&gt;Inputs!$G$18,0,(Inputs!$G$47*V$34)*Inputs!$G$49))</f>
        <v>0</v>
      </c>
      <c r="W43" s="41">
        <f>-IF(Inputs!$G$33="simple",0,IF(W$2&gt;Inputs!$G$18,0,(Inputs!$G$47*W$34)*Inputs!$G$49))</f>
        <v>0</v>
      </c>
      <c r="X43" s="41">
        <f>-IF(Inputs!$G$33="simple",0,IF(X$2&gt;Inputs!$G$18,0,(Inputs!$G$47*X$34)*Inputs!$G$49))</f>
        <v>0</v>
      </c>
      <c r="Y43" s="41">
        <f>-IF(Inputs!$G$33="simple",0,IF(Y$2&gt;Inputs!$G$18,0,(Inputs!$G$47*Y$34)*Inputs!$G$49))</f>
        <v>0</v>
      </c>
      <c r="Z43" s="41">
        <f>-IF(Inputs!$G$33="simple",0,IF(Z$2&gt;Inputs!$G$18,0,(Inputs!$G$47*Z$34)*Inputs!$G$49))</f>
        <v>0</v>
      </c>
      <c r="AA43" s="41">
        <f>-IF(Inputs!$G$33="simple",0,IF(AA$2&gt;Inputs!$G$18,0,(Inputs!$G$47*AA$34)*Inputs!$G$49))</f>
        <v>0</v>
      </c>
      <c r="AB43" s="41">
        <f>-IF(Inputs!$G$33="simple",0,IF(AB$2&gt;Inputs!$G$18,0,(Inputs!$G$47*AB$34)*Inputs!$G$49))</f>
        <v>0</v>
      </c>
      <c r="AC43" s="41">
        <f>-IF(Inputs!$G$33="simple",0,IF(AC$2&gt;Inputs!$G$18,0,(Inputs!$G$47*AC$34)*Inputs!$G$49))</f>
        <v>0</v>
      </c>
      <c r="AD43" s="41">
        <f>-IF(Inputs!$G$33="simple",0,IF(AD$2&gt;Inputs!$G$18,0,(Inputs!$G$47*AD$34)*Inputs!$G$49))</f>
        <v>0</v>
      </c>
      <c r="AE43" s="41">
        <f>-IF(Inputs!$G$33="simple",0,IF(AE$2&gt;Inputs!$G$18,0,(Inputs!$G$47*AE$34)*Inputs!$G$49))</f>
        <v>0</v>
      </c>
      <c r="AF43" s="41">
        <f>-IF(Inputs!$G$33="simple",0,IF(AF$2&gt;Inputs!$G$18,0,(Inputs!$G$47*AF$34)*Inputs!$G$49))</f>
        <v>0</v>
      </c>
      <c r="AG43" s="41">
        <f>-IF(Inputs!$G$33="simple",0,IF(AG$2&gt;Inputs!$G$18,0,(Inputs!$G$47*AG$34)*Inputs!$G$49))</f>
        <v>0</v>
      </c>
      <c r="AH43" s="41">
        <f>-IF(Inputs!$G$33="simple",0,IF(AH$2&gt;Inputs!$G$18,0,(Inputs!$G$47*AH$34)*Inputs!$G$49))</f>
        <v>0</v>
      </c>
      <c r="AI43" s="41">
        <f>-IF(Inputs!$G$33="simple",0,IF(AI$2&gt;Inputs!$G$18,0,(Inputs!$G$47*AI$34)*Inputs!$G$49))</f>
        <v>0</v>
      </c>
      <c r="AJ43" s="41">
        <f>-IF(Inputs!$G$33="simple",0,IF(AJ$2&gt;Inputs!$G$18,0,(Inputs!$G$47*AJ$34)*Inputs!$G$49))</f>
        <v>0</v>
      </c>
    </row>
    <row r="44" spans="2:36" s="29" customFormat="1" ht="16">
      <c r="B44" s="29" t="s">
        <v>113</v>
      </c>
      <c r="E44" s="76" t="s">
        <v>0</v>
      </c>
      <c r="G44" s="84">
        <f>IF(Inputs!$G$33="simple",0,IF(G$2&gt;Inputs!$G$18,0,-Inputs!$G$50))</f>
        <v>0</v>
      </c>
      <c r="H44" s="84">
        <f>IF(Inputs!$G$33="simple",0,IF(H$2&gt;Inputs!$G$18,0,G44*(1+Inputs!$G$51)))</f>
        <v>0</v>
      </c>
      <c r="I44" s="84">
        <f>IF(Inputs!$G$33="simple",0,IF(I$2&gt;Inputs!$G$18,0,H44*(1+Inputs!$G$51)))</f>
        <v>0</v>
      </c>
      <c r="J44" s="84">
        <f>IF(Inputs!$G$33="simple",0,IF(J$2&gt;Inputs!$G$18,0,I44*(1+Inputs!$G$51)))</f>
        <v>0</v>
      </c>
      <c r="K44" s="84">
        <f>IF(Inputs!$G$33="simple",0,IF(K$2&gt;Inputs!$G$18,0,J44*(1+Inputs!$G$51)))</f>
        <v>0</v>
      </c>
      <c r="L44" s="84">
        <f>IF(Inputs!$G$33="simple",0,IF(L$2&gt;Inputs!$G$18,0,K44*(1+Inputs!$G$51)))</f>
        <v>0</v>
      </c>
      <c r="M44" s="84">
        <f>IF(Inputs!$G$33="simple",0,IF(M$2&gt;Inputs!$G$18,0,L44*(1+Inputs!$G$51)))</f>
        <v>0</v>
      </c>
      <c r="N44" s="84">
        <f>IF(Inputs!$G$33="simple",0,IF(N$2&gt;Inputs!$G$18,0,M44*(1+Inputs!$G$51)))</f>
        <v>0</v>
      </c>
      <c r="O44" s="84">
        <f>IF(Inputs!$G$33="simple",0,IF(O$2&gt;Inputs!$G$18,0,N44*(1+Inputs!$G$51)))</f>
        <v>0</v>
      </c>
      <c r="P44" s="84">
        <f>IF(Inputs!$G$33="simple",0,IF(P$2&gt;Inputs!$G$18,0,O44*(1+Inputs!$G$51)))</f>
        <v>0</v>
      </c>
      <c r="Q44" s="84">
        <f>IF(Inputs!$G$33="simple",0,IF(Q$2&gt;Inputs!$G$18,0,P44*(1+Inputs!$G$51)))</f>
        <v>0</v>
      </c>
      <c r="R44" s="84">
        <f>IF(Inputs!$G$33="simple",0,IF(R$2&gt;Inputs!$G$18,0,Q44*(1+Inputs!$G$51)))</f>
        <v>0</v>
      </c>
      <c r="S44" s="84">
        <f>IF(Inputs!$G$33="simple",0,IF(S$2&gt;Inputs!$G$18,0,R44*(1+Inputs!$G$51)))</f>
        <v>0</v>
      </c>
      <c r="T44" s="84">
        <f>IF(Inputs!$G$33="simple",0,IF(T$2&gt;Inputs!$G$18,0,S44*(1+Inputs!$G$51)))</f>
        <v>0</v>
      </c>
      <c r="U44" s="84">
        <f>IF(Inputs!$G$33="simple",0,IF(U$2&gt;Inputs!$G$18,0,T44*(1+Inputs!$G$51)))</f>
        <v>0</v>
      </c>
      <c r="V44" s="84">
        <f>IF(Inputs!$G$33="simple",0,IF(V$2&gt;Inputs!$G$18,0,U44*(1+Inputs!$G$51)))</f>
        <v>0</v>
      </c>
      <c r="W44" s="84">
        <f>IF(Inputs!$G$33="simple",0,IF(W$2&gt;Inputs!$G$18,0,V44*(1+Inputs!$G$51)))</f>
        <v>0</v>
      </c>
      <c r="X44" s="84">
        <f>IF(Inputs!$G$33="simple",0,IF(X$2&gt;Inputs!$G$18,0,W44*(1+Inputs!$G$51)))</f>
        <v>0</v>
      </c>
      <c r="Y44" s="84">
        <f>IF(Inputs!$G$33="simple",0,IF(Y$2&gt;Inputs!$G$18,0,X44*(1+Inputs!$G$51)))</f>
        <v>0</v>
      </c>
      <c r="Z44" s="84">
        <f>IF(Inputs!$G$33="simple",0,IF(Z$2&gt;Inputs!$G$18,0,Y44*(1+Inputs!$G$51)))</f>
        <v>0</v>
      </c>
      <c r="AA44" s="84">
        <f>IF(Inputs!$G$33="simple",0,IF(AA$2&gt;Inputs!$G$18,0,Z44*(1+Inputs!$G$51)))</f>
        <v>0</v>
      </c>
      <c r="AB44" s="84">
        <f>IF(Inputs!$G$33="simple",0,IF(AB$2&gt;Inputs!$G$18,0,AA44*(1+Inputs!$G$51)))</f>
        <v>0</v>
      </c>
      <c r="AC44" s="84">
        <f>IF(Inputs!$G$33="simple",0,IF(AC$2&gt;Inputs!$G$18,0,AB44*(1+Inputs!$G$51)))</f>
        <v>0</v>
      </c>
      <c r="AD44" s="84">
        <f>IF(Inputs!$G$33="simple",0,IF(AD$2&gt;Inputs!$G$18,0,AC44*(1+Inputs!$G$51)))</f>
        <v>0</v>
      </c>
      <c r="AE44" s="84">
        <f>IF(Inputs!$G$33="simple",0,IF(AE$2&gt;Inputs!$G$18,0,AD44*(1+Inputs!$G$51)))</f>
        <v>0</v>
      </c>
      <c r="AF44" s="84">
        <f>IF(Inputs!$G$33="simple",0,IF(AF$2&gt;Inputs!$G$18,0,AE44*(1+Inputs!$G$51)))</f>
        <v>0</v>
      </c>
      <c r="AG44" s="84">
        <f>IF(Inputs!$G$33="simple",0,IF(AG$2&gt;Inputs!$G$18,0,AF44*(1+Inputs!$G$51)))</f>
        <v>0</v>
      </c>
      <c r="AH44" s="84">
        <f>IF(Inputs!$G$33="simple",0,IF(AH$2&gt;Inputs!$G$18,0,AG44*(1+Inputs!$G$51)))</f>
        <v>0</v>
      </c>
      <c r="AI44" s="84">
        <f>IF(Inputs!$G$33="simple",0,IF(AI$2&gt;Inputs!$G$18,0,AH44*(1+Inputs!$G$51)))</f>
        <v>0</v>
      </c>
      <c r="AJ44" s="84">
        <f>IF(Inputs!$G$33="simple",0,IF(AJ$2&gt;Inputs!$G$18,0,AI44*(1+Inputs!$G$51)))</f>
        <v>0</v>
      </c>
    </row>
    <row r="45" spans="2:36" s="29" customFormat="1" ht="16">
      <c r="B45" s="29" t="s">
        <v>329</v>
      </c>
      <c r="E45" s="76" t="s">
        <v>0</v>
      </c>
      <c r="G45" s="84">
        <f>IF(Inputs!$G$33="simple",0,IF(G$2&gt;Inputs!$G$18,0,-Inputs!$G$52*G$32))</f>
        <v>-25000</v>
      </c>
      <c r="H45" s="84">
        <f>IF(Inputs!$G$33="simple",0,IF(H$2&gt;Inputs!$G$18,0,-Inputs!$G$52*H$32))</f>
        <v>-25500</v>
      </c>
      <c r="I45" s="84">
        <f>IF(Inputs!$G$33="simple",0,IF(I$2&gt;Inputs!$G$18,0,-Inputs!$G$52*I$32))</f>
        <v>-26010</v>
      </c>
      <c r="J45" s="84">
        <f>IF(Inputs!$G$33="simple",0,IF(J$2&gt;Inputs!$G$18,0,-Inputs!$G$52*J$32))</f>
        <v>-26530.199999999997</v>
      </c>
      <c r="K45" s="84">
        <f>IF(Inputs!$G$33="simple",0,IF(K$2&gt;Inputs!$G$18,0,-Inputs!$G$52*K$32))</f>
        <v>-27060.804</v>
      </c>
      <c r="L45" s="84">
        <f>IF(Inputs!$G$33="simple",0,IF(L$2&gt;Inputs!$G$18,0,-Inputs!$G$52*L$32))</f>
        <v>-27602.020080000002</v>
      </c>
      <c r="M45" s="84">
        <f>IF(Inputs!$G$33="simple",0,IF(M$2&gt;Inputs!$G$18,0,-Inputs!$G$52*M$32))</f>
        <v>-28154.060481600001</v>
      </c>
      <c r="N45" s="84">
        <f>IF(Inputs!$G$33="simple",0,IF(N$2&gt;Inputs!$G$18,0,-Inputs!$G$52*N$32))</f>
        <v>-28717.141691232002</v>
      </c>
      <c r="O45" s="84">
        <f>IF(Inputs!$G$33="simple",0,IF(O$2&gt;Inputs!$G$18,0,-Inputs!$G$52*O$32))</f>
        <v>-29291.484525056643</v>
      </c>
      <c r="P45" s="84">
        <f>IF(Inputs!$G$33="simple",0,IF(P$2&gt;Inputs!$G$18,0,-Inputs!$G$52*P$32))</f>
        <v>-29877.314215557777</v>
      </c>
      <c r="Q45" s="84">
        <f>IF(Inputs!$G$33="simple",0,IF(Q$2&gt;Inputs!$G$18,0,-Inputs!$G$52*Q$32))</f>
        <v>-30474.860499868933</v>
      </c>
      <c r="R45" s="84">
        <f>IF(Inputs!$G$33="simple",0,IF(R$2&gt;Inputs!$G$18,0,-Inputs!$G$52*R$32))</f>
        <v>-31084.357709866312</v>
      </c>
      <c r="S45" s="84">
        <f>IF(Inputs!$G$33="simple",0,IF(S$2&gt;Inputs!$G$18,0,-Inputs!$G$52*S$32))</f>
        <v>-31706.044864063639</v>
      </c>
      <c r="T45" s="84">
        <f>IF(Inputs!$G$33="simple",0,IF(T$2&gt;Inputs!$G$18,0,-Inputs!$G$52*T$32))</f>
        <v>-32340.165761344906</v>
      </c>
      <c r="U45" s="84">
        <f>IF(Inputs!$G$33="simple",0,IF(U$2&gt;Inputs!$G$18,0,-Inputs!$G$52*U$32))</f>
        <v>-32986.969076571811</v>
      </c>
      <c r="V45" s="84">
        <f>IF(Inputs!$G$33="simple",0,IF(V$2&gt;Inputs!$G$18,0,-Inputs!$G$52*V$32))</f>
        <v>-33646.708458103247</v>
      </c>
      <c r="W45" s="84">
        <f>IF(Inputs!$G$33="simple",0,IF(W$2&gt;Inputs!$G$18,0,-Inputs!$G$52*W$32))</f>
        <v>-34319.642627265312</v>
      </c>
      <c r="X45" s="84">
        <f>IF(Inputs!$G$33="simple",0,IF(X$2&gt;Inputs!$G$18,0,-Inputs!$G$52*X$32))</f>
        <v>-35006.03547981062</v>
      </c>
      <c r="Y45" s="84">
        <f>IF(Inputs!$G$33="simple",0,IF(Y$2&gt;Inputs!$G$18,0,-Inputs!$G$52*Y$32))</f>
        <v>-35706.156189406836</v>
      </c>
      <c r="Z45" s="84">
        <f>IF(Inputs!$G$33="simple",0,IF(Z$2&gt;Inputs!$G$18,0,-Inputs!$G$52*Z$32))</f>
        <v>-36420.279313194973</v>
      </c>
      <c r="AA45" s="84">
        <f>IF(Inputs!$G$33="simple",0,IF(AA$2&gt;Inputs!$G$18,0,-Inputs!$G$52*AA$32))</f>
        <v>0</v>
      </c>
      <c r="AB45" s="84">
        <f>IF(Inputs!$G$33="simple",0,IF(AB$2&gt;Inputs!$G$18,0,-Inputs!$G$52*AB$32))</f>
        <v>0</v>
      </c>
      <c r="AC45" s="84">
        <f>IF(Inputs!$G$33="simple",0,IF(AC$2&gt;Inputs!$G$18,0,-Inputs!$G$52*AC$32))</f>
        <v>0</v>
      </c>
      <c r="AD45" s="84">
        <f>IF(Inputs!$G$33="simple",0,IF(AD$2&gt;Inputs!$G$18,0,-Inputs!$G$52*AD$32))</f>
        <v>0</v>
      </c>
      <c r="AE45" s="84">
        <f>IF(Inputs!$G$33="simple",0,IF(AE$2&gt;Inputs!$G$18,0,-Inputs!$G$52*AE$32))</f>
        <v>0</v>
      </c>
      <c r="AF45" s="84">
        <f>IF(Inputs!$G$33="simple",0,IF(AF$2&gt;Inputs!$G$18,0,-Inputs!$G$52*AF$32))</f>
        <v>0</v>
      </c>
      <c r="AG45" s="84">
        <f>IF(Inputs!$G$33="simple",0,IF(AG$2&gt;Inputs!$G$18,0,-Inputs!$G$52*AG$32))</f>
        <v>0</v>
      </c>
      <c r="AH45" s="84">
        <f>IF(Inputs!$G$33="simple",0,IF(AH$2&gt;Inputs!$G$18,0,-Inputs!$G$52*AH$32))</f>
        <v>0</v>
      </c>
      <c r="AI45" s="84">
        <f>IF(Inputs!$G$33="simple",0,IF(AI$2&gt;Inputs!$G$18,0,-Inputs!$G$52*AI$32))</f>
        <v>0</v>
      </c>
      <c r="AJ45" s="84">
        <f>IF(Inputs!$G$33="simple",0,IF(AJ$2&gt;Inputs!$G$18,0,-Inputs!$G$52*AJ$32))</f>
        <v>0</v>
      </c>
    </row>
    <row r="46" spans="2:36" s="29" customFormat="1" ht="16">
      <c r="B46" s="40" t="s">
        <v>114</v>
      </c>
      <c r="C46" s="40"/>
      <c r="D46" s="40"/>
      <c r="E46" s="80" t="s">
        <v>0</v>
      </c>
      <c r="F46" s="40"/>
      <c r="G46" s="53">
        <f>-IF(Inputs!$G$33="simple",0,IF(G$2&gt;Inputs!$G$18,0,Inputs!$G$53*(G$18+G$20+G$22+G$24)))</f>
        <v>0</v>
      </c>
      <c r="H46" s="53">
        <f>-IF(Inputs!$G$33="simple",0,IF(H$2&gt;Inputs!$G$18,0,Inputs!$G$53*(H$18+H$20+H$22+H$24)))</f>
        <v>0</v>
      </c>
      <c r="I46" s="53">
        <f>-IF(Inputs!$G$33="simple",0,IF(I$2&gt;Inputs!$G$18,0,Inputs!$G$53*(I$18+I$20+I$22+I$24)))</f>
        <v>0</v>
      </c>
      <c r="J46" s="53">
        <f>-IF(Inputs!$G$33="simple",0,IF(J$2&gt;Inputs!$G$18,0,Inputs!$G$53*(J$18+J$20+J$22+J$24)))</f>
        <v>0</v>
      </c>
      <c r="K46" s="53">
        <f>-IF(Inputs!$G$33="simple",0,IF(K$2&gt;Inputs!$G$18,0,Inputs!$G$53*(K$18+K$20+K$22+K$24)))</f>
        <v>0</v>
      </c>
      <c r="L46" s="53">
        <f>-IF(Inputs!$G$33="simple",0,IF(L$2&gt;Inputs!$G$18,0,Inputs!$G$53*(L$18+L$20+L$22+L$24)))</f>
        <v>0</v>
      </c>
      <c r="M46" s="53">
        <f>-IF(Inputs!$G$33="simple",0,IF(M$2&gt;Inputs!$G$18,0,Inputs!$G$53*(M$18+M$20+M$22+M$24)))</f>
        <v>0</v>
      </c>
      <c r="N46" s="53">
        <f>-IF(Inputs!$G$33="simple",0,IF(N$2&gt;Inputs!$G$18,0,Inputs!$G$53*(N$18+N$20+N$22+N$24)))</f>
        <v>0</v>
      </c>
      <c r="O46" s="53">
        <f>-IF(Inputs!$G$33="simple",0,IF(O$2&gt;Inputs!$G$18,0,Inputs!$G$53*(O$18+O$20+O$22+O$24)))</f>
        <v>0</v>
      </c>
      <c r="P46" s="53">
        <f>-IF(Inputs!$G$33="simple",0,IF(P$2&gt;Inputs!$G$18,0,Inputs!$G$53*(P$18+P$20+P$22+P$24)))</f>
        <v>0</v>
      </c>
      <c r="Q46" s="53">
        <f>-IF(Inputs!$G$33="simple",0,IF(Q$2&gt;Inputs!$G$18,0,Inputs!$G$53*(Q$18+Q$20+Q$22+Q$24)))</f>
        <v>0</v>
      </c>
      <c r="R46" s="53">
        <f>-IF(Inputs!$G$33="simple",0,IF(R$2&gt;Inputs!$G$18,0,Inputs!$G$53*(R$18+R$20+R$22+R$24)))</f>
        <v>0</v>
      </c>
      <c r="S46" s="53">
        <f>-IF(Inputs!$G$33="simple",0,IF(S$2&gt;Inputs!$G$18,0,Inputs!$G$53*(S$18+S$20+S$22+S$24)))</f>
        <v>0</v>
      </c>
      <c r="T46" s="53">
        <f>-IF(Inputs!$G$33="simple",0,IF(T$2&gt;Inputs!$G$18,0,Inputs!$G$53*(T$18+T$20+T$22+T$24)))</f>
        <v>0</v>
      </c>
      <c r="U46" s="53">
        <f>-IF(Inputs!$G$33="simple",0,IF(U$2&gt;Inputs!$G$18,0,Inputs!$G$53*(U$18+U$20+U$22+U$24)))</f>
        <v>0</v>
      </c>
      <c r="V46" s="53">
        <f>-IF(Inputs!$G$33="simple",0,IF(V$2&gt;Inputs!$G$18,0,Inputs!$G$53*(V$18+V$20+V$22+V$24)))</f>
        <v>0</v>
      </c>
      <c r="W46" s="53">
        <f>-IF(Inputs!$G$33="simple",0,IF(W$2&gt;Inputs!$G$18,0,Inputs!$G$53*(W$18+W$20+W$22+W$24)))</f>
        <v>0</v>
      </c>
      <c r="X46" s="53">
        <f>-IF(Inputs!$G$33="simple",0,IF(X$2&gt;Inputs!$G$18,0,Inputs!$G$53*(X$18+X$20+X$22+X$24)))</f>
        <v>0</v>
      </c>
      <c r="Y46" s="53">
        <f>-IF(Inputs!$G$33="simple",0,IF(Y$2&gt;Inputs!$G$18,0,Inputs!$G$53*(Y$18+Y$20+Y$22+Y$24)))</f>
        <v>0</v>
      </c>
      <c r="Z46" s="53">
        <f>-IF(Inputs!$G$33="simple",0,IF(Z$2&gt;Inputs!$G$18,0,Inputs!$G$53*(Z$18+Z$20+Z$22+Z$24)))</f>
        <v>0</v>
      </c>
      <c r="AA46" s="53">
        <f>-IF(Inputs!$G$33="simple",0,IF(AA$2&gt;Inputs!$G$18,0,Inputs!$G$53*(AA$18+AA$20+AA$22+AA$24)))</f>
        <v>0</v>
      </c>
      <c r="AB46" s="53">
        <f>-IF(Inputs!$G$33="simple",0,IF(AB$2&gt;Inputs!$G$18,0,Inputs!$G$53*(AB$18+AB$20+AB$22+AB$24)))</f>
        <v>0</v>
      </c>
      <c r="AC46" s="53">
        <f>-IF(Inputs!$G$33="simple",0,IF(AC$2&gt;Inputs!$G$18,0,Inputs!$G$53*(AC$18+AC$20+AC$22+AC$24)))</f>
        <v>0</v>
      </c>
      <c r="AD46" s="53">
        <f>-IF(Inputs!$G$33="simple",0,IF(AD$2&gt;Inputs!$G$18,0,Inputs!$G$53*(AD$18+AD$20+AD$22+AD$24)))</f>
        <v>0</v>
      </c>
      <c r="AE46" s="53">
        <f>-IF(Inputs!$G$33="simple",0,IF(AE$2&gt;Inputs!$G$18,0,Inputs!$G$53*(AE$18+AE$20+AE$22+AE$24)))</f>
        <v>0</v>
      </c>
      <c r="AF46" s="53">
        <f>-IF(Inputs!$G$33="simple",0,IF(AF$2&gt;Inputs!$G$18,0,Inputs!$G$53*(AF$18+AF$20+AF$22+AF$24)))</f>
        <v>0</v>
      </c>
      <c r="AG46" s="53">
        <f>-IF(Inputs!$G$33="simple",0,IF(AG$2&gt;Inputs!$G$18,0,Inputs!$G$53*(AG$18+AG$20+AG$22+AG$24)))</f>
        <v>0</v>
      </c>
      <c r="AH46" s="53">
        <f>-IF(Inputs!$G$33="simple",0,IF(AH$2&gt;Inputs!$G$18,0,Inputs!$G$53*(AH$18+AH$20+AH$22+AH$24)))</f>
        <v>0</v>
      </c>
      <c r="AI46" s="53">
        <f>-IF(Inputs!$G$33="simple",0,IF(AI$2&gt;Inputs!$G$18,0,Inputs!$G$53*(AI$18+AI$20+AI$22+AI$24)))</f>
        <v>0</v>
      </c>
      <c r="AJ46" s="53">
        <f>-IF(Inputs!$G$33="simple",0,IF(AJ$2&gt;Inputs!$G$18,0,Inputs!$G$53*(AJ$18+AJ$20+AJ$22+AJ$24)))</f>
        <v>0</v>
      </c>
    </row>
    <row r="47" spans="2:36" s="29" customFormat="1" ht="16">
      <c r="B47" s="43" t="s">
        <v>117</v>
      </c>
      <c r="C47" s="43"/>
      <c r="D47" s="43"/>
      <c r="E47" s="81" t="s">
        <v>0</v>
      </c>
      <c r="F47" s="34"/>
      <c r="G47" s="44">
        <f>SUM(G37:G46)</f>
        <v>-350888</v>
      </c>
      <c r="H47" s="44">
        <f t="shared" ref="H47:AJ47" si="5">SUM(H37:H46)</f>
        <v>-357905.76</v>
      </c>
      <c r="I47" s="44">
        <f t="shared" si="5"/>
        <v>-365063.87520000001</v>
      </c>
      <c r="J47" s="44">
        <f t="shared" si="5"/>
        <v>-372365.15270400001</v>
      </c>
      <c r="K47" s="44">
        <f t="shared" si="5"/>
        <v>-379812.45575808</v>
      </c>
      <c r="L47" s="44">
        <f t="shared" si="5"/>
        <v>-387408.70487324154</v>
      </c>
      <c r="M47" s="44">
        <f t="shared" si="5"/>
        <v>-395156.87897070643</v>
      </c>
      <c r="N47" s="44">
        <f t="shared" si="5"/>
        <v>-403060.01655012055</v>
      </c>
      <c r="O47" s="44">
        <f t="shared" si="5"/>
        <v>-411121.21688112291</v>
      </c>
      <c r="P47" s="44">
        <f t="shared" si="5"/>
        <v>-419343.64121874544</v>
      </c>
      <c r="Q47" s="44">
        <f t="shared" si="5"/>
        <v>-427730.51404312032</v>
      </c>
      <c r="R47" s="44">
        <f t="shared" si="5"/>
        <v>-436285.1243239828</v>
      </c>
      <c r="S47" s="44">
        <f t="shared" si="5"/>
        <v>-445010.8268104624</v>
      </c>
      <c r="T47" s="44">
        <f t="shared" si="5"/>
        <v>-453911.04334667168</v>
      </c>
      <c r="U47" s="44">
        <f t="shared" si="5"/>
        <v>-462989.26421360514</v>
      </c>
      <c r="V47" s="44">
        <f t="shared" si="5"/>
        <v>-472249.04949787725</v>
      </c>
      <c r="W47" s="44">
        <f t="shared" si="5"/>
        <v>-481694.03048783483</v>
      </c>
      <c r="X47" s="44">
        <f t="shared" si="5"/>
        <v>-491327.91109759163</v>
      </c>
      <c r="Y47" s="44">
        <f t="shared" si="5"/>
        <v>-501154.46931954345</v>
      </c>
      <c r="Z47" s="44">
        <f t="shared" si="5"/>
        <v>-511177.55870593427</v>
      </c>
      <c r="AA47" s="44">
        <f t="shared" si="5"/>
        <v>0</v>
      </c>
      <c r="AB47" s="44">
        <f t="shared" si="5"/>
        <v>0</v>
      </c>
      <c r="AC47" s="44">
        <f t="shared" si="5"/>
        <v>0</v>
      </c>
      <c r="AD47" s="44">
        <f t="shared" si="5"/>
        <v>0</v>
      </c>
      <c r="AE47" s="44">
        <f t="shared" si="5"/>
        <v>0</v>
      </c>
      <c r="AF47" s="44">
        <f t="shared" si="5"/>
        <v>0</v>
      </c>
      <c r="AG47" s="44">
        <f t="shared" si="5"/>
        <v>0</v>
      </c>
      <c r="AH47" s="44">
        <f t="shared" si="5"/>
        <v>0</v>
      </c>
      <c r="AI47" s="44">
        <f t="shared" si="5"/>
        <v>0</v>
      </c>
      <c r="AJ47" s="44">
        <f t="shared" si="5"/>
        <v>0</v>
      </c>
    </row>
    <row r="48" spans="2:36" s="29" customFormat="1" ht="16" hidden="1">
      <c r="B48" s="43"/>
      <c r="C48" s="43"/>
      <c r="D48" s="43"/>
      <c r="E48" s="81"/>
      <c r="F48" s="34"/>
      <c r="G48" s="44">
        <f>IF(G47=0,"",G47)</f>
        <v>-350888</v>
      </c>
      <c r="H48" s="44">
        <f t="shared" ref="H48:AJ48" si="6">IF(H47=0,"",H47)</f>
        <v>-357905.76</v>
      </c>
      <c r="I48" s="44">
        <f t="shared" si="6"/>
        <v>-365063.87520000001</v>
      </c>
      <c r="J48" s="44">
        <f t="shared" si="6"/>
        <v>-372365.15270400001</v>
      </c>
      <c r="K48" s="44">
        <f t="shared" si="6"/>
        <v>-379812.45575808</v>
      </c>
      <c r="L48" s="44">
        <f t="shared" si="6"/>
        <v>-387408.70487324154</v>
      </c>
      <c r="M48" s="44">
        <f t="shared" si="6"/>
        <v>-395156.87897070643</v>
      </c>
      <c r="N48" s="44">
        <f t="shared" si="6"/>
        <v>-403060.01655012055</v>
      </c>
      <c r="O48" s="44">
        <f t="shared" si="6"/>
        <v>-411121.21688112291</v>
      </c>
      <c r="P48" s="44">
        <f t="shared" si="6"/>
        <v>-419343.64121874544</v>
      </c>
      <c r="Q48" s="44">
        <f t="shared" si="6"/>
        <v>-427730.51404312032</v>
      </c>
      <c r="R48" s="44">
        <f t="shared" si="6"/>
        <v>-436285.1243239828</v>
      </c>
      <c r="S48" s="44">
        <f t="shared" si="6"/>
        <v>-445010.8268104624</v>
      </c>
      <c r="T48" s="44">
        <f t="shared" si="6"/>
        <v>-453911.04334667168</v>
      </c>
      <c r="U48" s="44">
        <f t="shared" si="6"/>
        <v>-462989.26421360514</v>
      </c>
      <c r="V48" s="44">
        <f t="shared" si="6"/>
        <v>-472249.04949787725</v>
      </c>
      <c r="W48" s="44">
        <f t="shared" si="6"/>
        <v>-481694.03048783483</v>
      </c>
      <c r="X48" s="44">
        <f t="shared" si="6"/>
        <v>-491327.91109759163</v>
      </c>
      <c r="Y48" s="44">
        <f t="shared" si="6"/>
        <v>-501154.46931954345</v>
      </c>
      <c r="Z48" s="44">
        <f t="shared" si="6"/>
        <v>-511177.55870593427</v>
      </c>
      <c r="AA48" s="44" t="str">
        <f t="shared" si="6"/>
        <v/>
      </c>
      <c r="AB48" s="44" t="str">
        <f t="shared" si="6"/>
        <v/>
      </c>
      <c r="AC48" s="44" t="str">
        <f t="shared" si="6"/>
        <v/>
      </c>
      <c r="AD48" s="44" t="str">
        <f t="shared" si="6"/>
        <v/>
      </c>
      <c r="AE48" s="44" t="str">
        <f t="shared" si="6"/>
        <v/>
      </c>
      <c r="AF48" s="44" t="str">
        <f t="shared" si="6"/>
        <v/>
      </c>
      <c r="AG48" s="44" t="str">
        <f t="shared" si="6"/>
        <v/>
      </c>
      <c r="AH48" s="44" t="str">
        <f t="shared" si="6"/>
        <v/>
      </c>
      <c r="AI48" s="44" t="str">
        <f t="shared" si="6"/>
        <v/>
      </c>
      <c r="AJ48" s="44" t="str">
        <f t="shared" si="6"/>
        <v/>
      </c>
    </row>
    <row r="49" spans="1:36" s="29" customFormat="1" ht="16">
      <c r="B49" s="45" t="s">
        <v>117</v>
      </c>
      <c r="C49" s="45"/>
      <c r="D49" s="45"/>
      <c r="E49" s="79" t="s">
        <v>52</v>
      </c>
      <c r="F49" s="46"/>
      <c r="G49" s="694">
        <f>IF(G$2&gt;Inputs!$G$18,0,G47*100/G5)</f>
        <v>-9.6752917300862507</v>
      </c>
      <c r="H49" s="694">
        <f>IF(H$2&gt;Inputs!$G$18,0,H47*100/H5)</f>
        <v>-9.8687975646879753</v>
      </c>
      <c r="I49" s="694">
        <f>IF(I$2&gt;Inputs!$G$18,0,I47*100/I5)</f>
        <v>-10.066173515981736</v>
      </c>
      <c r="J49" s="694">
        <f>IF(J$2&gt;Inputs!$G$18,0,J47*100/J5)</f>
        <v>-10.267496986301371</v>
      </c>
      <c r="K49" s="694">
        <f>IF(K$2&gt;Inputs!$G$18,0,K47*100/K5)</f>
        <v>-10.472846926027398</v>
      </c>
      <c r="L49" s="694">
        <f>IF(L$2&gt;Inputs!$G$18,0,L47*100/L5)</f>
        <v>-10.682303864547944</v>
      </c>
      <c r="M49" s="694">
        <f>IF(M$2&gt;Inputs!$G$18,0,M47*100/M5)</f>
        <v>-10.895949941838905</v>
      </c>
      <c r="N49" s="694">
        <f>IF(N$2&gt;Inputs!$G$18,0,N47*100/N5)</f>
        <v>-11.113868940675681</v>
      </c>
      <c r="O49" s="694">
        <f>IF(O$2&gt;Inputs!$G$18,0,O47*100/O5)</f>
        <v>-11.336146319489194</v>
      </c>
      <c r="P49" s="694">
        <f>IF(P$2&gt;Inputs!$G$18,0,P47*100/P5)</f>
        <v>-11.562869245878979</v>
      </c>
      <c r="Q49" s="694">
        <f>IF(Q$2&gt;Inputs!$G$18,0,Q47*100/Q5)</f>
        <v>-11.794126630796558</v>
      </c>
      <c r="R49" s="694">
        <f>IF(R$2&gt;Inputs!$G$18,0,R47*100/R5)</f>
        <v>-12.030009163412492</v>
      </c>
      <c r="S49" s="694">
        <f>IF(S$2&gt;Inputs!$G$18,0,S47*100/S5)</f>
        <v>-12.27060934668074</v>
      </c>
      <c r="T49" s="694">
        <f>IF(T$2&gt;Inputs!$G$18,0,T47*100/T5)</f>
        <v>-12.516021533614357</v>
      </c>
      <c r="U49" s="694">
        <f>IF(U$2&gt;Inputs!$G$18,0,U47*100/U5)</f>
        <v>-12.766341964286644</v>
      </c>
      <c r="V49" s="694">
        <f>IF(V$2&gt;Inputs!$G$18,0,V47*100/V5)</f>
        <v>-13.021668803572377</v>
      </c>
      <c r="W49" s="694">
        <f>IF(W$2&gt;Inputs!$G$18,0,W47*100/W5)</f>
        <v>-13.282102179643825</v>
      </c>
      <c r="X49" s="694">
        <f>IF(X$2&gt;Inputs!$G$18,0,X47*100/X5)</f>
        <v>-13.547744223236704</v>
      </c>
      <c r="Y49" s="694">
        <f>IF(Y$2&gt;Inputs!$G$18,0,Y47*100/Y5)</f>
        <v>-13.818699107701439</v>
      </c>
      <c r="Z49" s="694">
        <f>IF(Z$2&gt;Inputs!$G$18,0,Z47*100/Z5)</f>
        <v>-14.095073089855466</v>
      </c>
      <c r="AA49" s="694">
        <f>IF(AA$2&gt;Inputs!$G$18,0,AA47*100/AA5)</f>
        <v>0</v>
      </c>
      <c r="AB49" s="694">
        <f>IF(AB$2&gt;Inputs!$G$18,0,AB47*100/AB5)</f>
        <v>0</v>
      </c>
      <c r="AC49" s="694">
        <f>IF(AC$2&gt;Inputs!$G$18,0,AC47*100/AC5)</f>
        <v>0</v>
      </c>
      <c r="AD49" s="694">
        <f>IF(AD$2&gt;Inputs!$G$18,0,AD47*100/AD5)</f>
        <v>0</v>
      </c>
      <c r="AE49" s="694">
        <f>IF(AE$2&gt;Inputs!$G$18,0,AE47*100/AE5)</f>
        <v>0</v>
      </c>
      <c r="AF49" s="694">
        <f>IF(AF$2&gt;Inputs!$G$18,0,AF47*100/AF5)</f>
        <v>0</v>
      </c>
      <c r="AG49" s="694">
        <f>IF(AG$2&gt;Inputs!$G$18,0,AG47*100/AG5)</f>
        <v>0</v>
      </c>
      <c r="AH49" s="694">
        <f>IF(AH$2&gt;Inputs!$G$18,0,AH47*100/AH5)</f>
        <v>0</v>
      </c>
      <c r="AI49" s="694">
        <f>IF(AI$2&gt;Inputs!$G$18,0,AI47*100/AI5)</f>
        <v>0</v>
      </c>
      <c r="AJ49" s="694">
        <f>IF(AJ$2&gt;Inputs!$G$18,0,AJ47*100/AJ5)</f>
        <v>0</v>
      </c>
    </row>
    <row r="50" spans="1:36" s="29" customFormat="1" ht="16">
      <c r="E50" s="79"/>
    </row>
    <row r="51" spans="1:36" s="29" customFormat="1" ht="16">
      <c r="B51" s="34" t="s">
        <v>118</v>
      </c>
      <c r="C51" s="34"/>
      <c r="D51" s="34"/>
      <c r="E51" s="76" t="s">
        <v>0</v>
      </c>
      <c r="F51" s="31"/>
      <c r="G51" s="44">
        <f t="shared" ref="G51:AJ51" si="7">G29+G47</f>
        <v>420183.20986735867</v>
      </c>
      <c r="H51" s="44">
        <f t="shared" si="7"/>
        <v>414253.44186735863</v>
      </c>
      <c r="I51" s="44">
        <f t="shared" si="7"/>
        <v>408205.07850735856</v>
      </c>
      <c r="J51" s="44">
        <f t="shared" si="7"/>
        <v>402035.74788015871</v>
      </c>
      <c r="K51" s="44">
        <f t="shared" si="7"/>
        <v>395743.03064041457</v>
      </c>
      <c r="L51" s="44">
        <f t="shared" si="7"/>
        <v>389324.45905587584</v>
      </c>
      <c r="M51" s="44">
        <f t="shared" si="7"/>
        <v>382777.51603964617</v>
      </c>
      <c r="N51" s="44">
        <f t="shared" si="7"/>
        <v>376099.63416309177</v>
      </c>
      <c r="O51" s="44">
        <f t="shared" si="7"/>
        <v>369288.19464900659</v>
      </c>
      <c r="P51" s="44">
        <f t="shared" si="7"/>
        <v>362340.52634463942</v>
      </c>
      <c r="Q51" s="44">
        <f t="shared" si="7"/>
        <v>288941.09582423826</v>
      </c>
      <c r="R51" s="44">
        <f t="shared" si="7"/>
        <v>280386.48554337578</v>
      </c>
      <c r="S51" s="44">
        <f t="shared" si="7"/>
        <v>271660.78305689618</v>
      </c>
      <c r="T51" s="44">
        <f t="shared" si="7"/>
        <v>261835.14199213305</v>
      </c>
      <c r="U51" s="44">
        <f t="shared" si="7"/>
        <v>251831.49659664574</v>
      </c>
      <c r="V51" s="44">
        <f t="shared" si="7"/>
        <v>242571.71131237363</v>
      </c>
      <c r="W51" s="44">
        <f t="shared" si="7"/>
        <v>233126.73032241606</v>
      </c>
      <c r="X51" s="44">
        <f t="shared" si="7"/>
        <v>223492.84971265926</v>
      </c>
      <c r="Y51" s="44">
        <f t="shared" si="7"/>
        <v>213666.29149070743</v>
      </c>
      <c r="Z51" s="44">
        <f t="shared" si="7"/>
        <v>202044.64169919112</v>
      </c>
      <c r="AA51" s="44">
        <f t="shared" si="7"/>
        <v>-2.1827872842550277E-13</v>
      </c>
      <c r="AB51" s="44">
        <f t="shared" si="7"/>
        <v>0</v>
      </c>
      <c r="AC51" s="44">
        <f t="shared" si="7"/>
        <v>0</v>
      </c>
      <c r="AD51" s="44">
        <f t="shared" si="7"/>
        <v>0</v>
      </c>
      <c r="AE51" s="44">
        <f t="shared" si="7"/>
        <v>0</v>
      </c>
      <c r="AF51" s="44">
        <f t="shared" si="7"/>
        <v>0</v>
      </c>
      <c r="AG51" s="44">
        <f t="shared" si="7"/>
        <v>0</v>
      </c>
      <c r="AH51" s="44">
        <f t="shared" si="7"/>
        <v>0</v>
      </c>
      <c r="AI51" s="44">
        <f t="shared" si="7"/>
        <v>0</v>
      </c>
      <c r="AJ51" s="44">
        <f t="shared" si="7"/>
        <v>0</v>
      </c>
    </row>
    <row r="52" spans="1:36" s="29" customFormat="1" ht="16">
      <c r="B52" s="34"/>
      <c r="C52" s="34"/>
      <c r="D52" s="34"/>
      <c r="E52" s="76" t="s">
        <v>256</v>
      </c>
      <c r="F52" s="82" t="s">
        <v>191</v>
      </c>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row>
    <row r="53" spans="1:36" s="31" customFormat="1" ht="16">
      <c r="B53" s="47" t="s">
        <v>149</v>
      </c>
      <c r="C53" s="47"/>
      <c r="D53" s="47"/>
      <c r="E53" s="48">
        <f>IF(OR(Inputs!$G$62=0,Inputs!$G$62=""),"N/A",AVERAGE(G53:AJ53))</f>
        <v>1.4841127971329571</v>
      </c>
      <c r="F53" s="48">
        <f>IF(OR(Inputs!$G$62=0,Inputs!$G$62=""),"N/A",MIN(G53:AJ53))</f>
        <v>1.10082227672882</v>
      </c>
      <c r="G53" s="48">
        <f>IF(OR(Inputs!$G$62=0,Inputs!$G$62=""),"N/A",IF(G$2&gt;Inputs!$G$63,"N/A",(G51+SUM(G59:G60))/-G97))</f>
        <v>1.702664008122712</v>
      </c>
      <c r="H53" s="48">
        <f>IF(OR(Inputs!$G$62=0,Inputs!$G$62=""),"N/A",IF(H$2&gt;Inputs!$G$63,"N/A",(H51+SUM(H59:H60))/-H97))</f>
        <v>1.6786354360307785</v>
      </c>
      <c r="I53" s="48">
        <f>IF(OR(Inputs!$G$62=0,Inputs!$G$62=""),"N/A",IF(I$2&gt;Inputs!$G$63,"N/A",(I51+SUM(I59:I60))/-I97))</f>
        <v>1.6541262924970062</v>
      </c>
      <c r="J53" s="48">
        <f>IF(OR(Inputs!$G$62=0,Inputs!$G$62=""),"N/A",IF(J$2&gt;Inputs!$G$63,"N/A",(J51+SUM(J59:J60))/-J97))</f>
        <v>1.6291269660925594</v>
      </c>
      <c r="K53" s="48">
        <f>IF(OR(Inputs!$G$62=0,Inputs!$G$62=""),"N/A",IF(K$2&gt;Inputs!$G$63,"N/A",(K51+SUM(K59:K60))/-K97))</f>
        <v>1.6036276531600224</v>
      </c>
      <c r="L53" s="48">
        <f>IF(OR(Inputs!$G$62=0,Inputs!$G$62=""),"N/A",IF(L$2&gt;Inputs!$G$63,"N/A",(L51+SUM(L59:L60))/-L97))</f>
        <v>1.5776183539688355</v>
      </c>
      <c r="M53" s="48">
        <f>IF(OR(Inputs!$G$62=0,Inputs!$G$62=""),"N/A",IF(M$2&gt;Inputs!$G$63,"N/A",(M51+SUM(M59:M60))/-M97))</f>
        <v>1.5510888687938249</v>
      </c>
      <c r="N53" s="48">
        <f>IF(OR(Inputs!$G$62=0,Inputs!$G$62=""),"N/A",IF(N$2&gt;Inputs!$G$63,"N/A",(N51+SUM(N59:N60))/-N97))</f>
        <v>1.524028793915313</v>
      </c>
      <c r="O53" s="48">
        <f>IF(OR(Inputs!$G$62=0,Inputs!$G$62=""),"N/A",IF(O$2&gt;Inputs!$G$63,"N/A",(O51+SUM(O59:O60))/-O97))</f>
        <v>1.4964275175392323</v>
      </c>
      <c r="P53" s="48">
        <f>IF(OR(Inputs!$G$62=0,Inputs!$G$62=""),"N/A",IF(P$2&gt;Inputs!$G$63,"N/A",(P51+SUM(P59:P60))/-P97))</f>
        <v>1.468274215635629</v>
      </c>
      <c r="Q53" s="48">
        <f>IF(OR(Inputs!$G$62=0,Inputs!$G$62=""),"N/A",IF(Q$2&gt;Inputs!$G$63,"N/A",(Q51+SUM(Q59:Q60))/-Q97))</f>
        <v>1.1708454616327213</v>
      </c>
      <c r="R53" s="48">
        <f>IF(OR(Inputs!$G$62=0,Inputs!$G$62=""),"N/A",IF(R$2&gt;Inputs!$G$63,"N/A",(R51+SUM(R59:R60))/-R97))</f>
        <v>1.1361805186109877</v>
      </c>
      <c r="S53" s="48">
        <f>IF(OR(Inputs!$G$62=0,Inputs!$G$62=""),"N/A",IF(S$2&gt;Inputs!$G$63,"N/A",(S51+SUM(S59:S60))/-S97))</f>
        <v>1.10082227672882</v>
      </c>
      <c r="T53" s="48" t="str">
        <f>IF(OR(Inputs!$G$62=0,Inputs!$G$62=""),"N/A",IF(T$2&gt;Inputs!$G$63,"N/A",(T51+SUM(T59:T60))/-T97))</f>
        <v>N/A</v>
      </c>
      <c r="U53" s="48" t="str">
        <f>IF(OR(Inputs!$G$62=0,Inputs!$G$62=""),"N/A",IF(U$2&gt;Inputs!$G$63,"N/A",(U51+SUM(U59:U60))/-U97))</f>
        <v>N/A</v>
      </c>
      <c r="V53" s="48" t="str">
        <f>IF(OR(Inputs!$G$62=0,Inputs!$G$62=""),"N/A",IF(V$2&gt;Inputs!$G$63,"N/A",(V51+SUM(V59:V60))/-V97))</f>
        <v>N/A</v>
      </c>
      <c r="W53" s="48" t="str">
        <f>IF(OR(Inputs!$G$62=0,Inputs!$G$62=""),"N/A",IF(W$2&gt;Inputs!$G$63,"N/A",(W51+SUM(W59:W60))/-W97))</f>
        <v>N/A</v>
      </c>
      <c r="X53" s="48" t="str">
        <f>IF(OR(Inputs!$G$62=0,Inputs!$G$62=""),"N/A",IF(X$2&gt;Inputs!$G$63,"N/A",(X51+SUM(X59:X60))/-X97))</f>
        <v>N/A</v>
      </c>
      <c r="Y53" s="48" t="str">
        <f>IF(OR(Inputs!$G$62=0,Inputs!$G$62=""),"N/A",IF(Y$2&gt;Inputs!$G$63,"N/A",(Y51+SUM(Y59:Y60))/-Y97))</f>
        <v>N/A</v>
      </c>
      <c r="Z53" s="48" t="str">
        <f>IF(OR(Inputs!$G$62=0,Inputs!$G$62=""),"N/A",IF(Z$2&gt;Inputs!$G$63,"N/A",(Z51+SUM(Z59:Z60))/-Z97))</f>
        <v>N/A</v>
      </c>
      <c r="AA53" s="48" t="str">
        <f>IF(OR(Inputs!$G$62=0,Inputs!$G$62=""),"N/A",IF(AA$2&gt;Inputs!$G$63,"N/A",(AA51+SUM(AA59:AA60))/-AA97))</f>
        <v>N/A</v>
      </c>
      <c r="AB53" s="48" t="str">
        <f>IF(OR(Inputs!$G$62=0,Inputs!$G$62=""),"N/A",IF(AB$2&gt;Inputs!$G$63,"N/A",(AB51+SUM(AB59:AB60))/-AB97))</f>
        <v>N/A</v>
      </c>
      <c r="AC53" s="48" t="str">
        <f>IF(OR(Inputs!$G$62=0,Inputs!$G$62=""),"N/A",IF(AC$2&gt;Inputs!$G$63,"N/A",(AC51+SUM(AC59:AC60))/-AC97))</f>
        <v>N/A</v>
      </c>
      <c r="AD53" s="48" t="str">
        <f>IF(OR(Inputs!$G$62=0,Inputs!$G$62=""),"N/A",IF(AD$2&gt;Inputs!$G$63,"N/A",(AD51+SUM(AD59:AD60))/-AD97))</f>
        <v>N/A</v>
      </c>
      <c r="AE53" s="48" t="str">
        <f>IF(OR(Inputs!$G$62=0,Inputs!$G$62=""),"N/A",IF(AE$2&gt;Inputs!$G$63,"N/A",(AE51+SUM(AE59:AE60))/-AE97))</f>
        <v>N/A</v>
      </c>
      <c r="AF53" s="48" t="str">
        <f>IF(OR(Inputs!$G$62=0,Inputs!$G$62=""),"N/A",IF(AF$2&gt;Inputs!$G$63,"N/A",(AF51+SUM(AF59:AF60))/-AF97))</f>
        <v>N/A</v>
      </c>
      <c r="AG53" s="48" t="str">
        <f>IF(OR(Inputs!$G$62=0,Inputs!$G$62=""),"N/A",IF(AG$2&gt;Inputs!$G$63,"N/A",(AG51+SUM(AG59:AG60))/-AG97))</f>
        <v>N/A</v>
      </c>
      <c r="AH53" s="48" t="str">
        <f>IF(OR(Inputs!$G$62=0,Inputs!$G$62=""),"N/A",IF(AH$2&gt;Inputs!$G$63,"N/A",(AH51+SUM(AH59:AH60))/-AH97))</f>
        <v>N/A</v>
      </c>
      <c r="AI53" s="48" t="str">
        <f>IF(OR(Inputs!$G$62=0,Inputs!$G$62=""),"N/A",IF(AI$2&gt;Inputs!$G$63,"N/A",(AI51+SUM(AI59:AI60))/-AI97))</f>
        <v>N/A</v>
      </c>
      <c r="AJ53" s="48" t="str">
        <f>IF(OR(Inputs!$G$62=0,Inputs!$G$62=""),"N/A",IF(AJ$2&gt;Inputs!$G$63,"N/A",(AJ51+SUM(AJ59:AJ60))/-AJ97))</f>
        <v>N/A</v>
      </c>
    </row>
    <row r="54" spans="1:36" s="31" customFormat="1" ht="16">
      <c r="B54" s="47" t="s">
        <v>286</v>
      </c>
      <c r="C54" s="47"/>
      <c r="D54" s="47"/>
      <c r="E54" s="82"/>
      <c r="F54" s="48"/>
      <c r="G54" s="424" t="str">
        <f t="shared" ref="G54:AJ54" si="8">IF(G53=$F$53,G2,"")</f>
        <v/>
      </c>
      <c r="H54" s="424" t="str">
        <f t="shared" si="8"/>
        <v/>
      </c>
      <c r="I54" s="424" t="str">
        <f t="shared" si="8"/>
        <v/>
      </c>
      <c r="J54" s="424" t="str">
        <f t="shared" si="8"/>
        <v/>
      </c>
      <c r="K54" s="424" t="str">
        <f t="shared" si="8"/>
        <v/>
      </c>
      <c r="L54" s="424" t="str">
        <f t="shared" si="8"/>
        <v/>
      </c>
      <c r="M54" s="424" t="str">
        <f t="shared" si="8"/>
        <v/>
      </c>
      <c r="N54" s="424" t="str">
        <f t="shared" si="8"/>
        <v/>
      </c>
      <c r="O54" s="424" t="str">
        <f t="shared" si="8"/>
        <v/>
      </c>
      <c r="P54" s="424" t="str">
        <f t="shared" si="8"/>
        <v/>
      </c>
      <c r="Q54" s="424" t="str">
        <f t="shared" si="8"/>
        <v/>
      </c>
      <c r="R54" s="424" t="str">
        <f t="shared" si="8"/>
        <v/>
      </c>
      <c r="S54" s="424">
        <f t="shared" si="8"/>
        <v>13</v>
      </c>
      <c r="T54" s="424" t="str">
        <f t="shared" si="8"/>
        <v/>
      </c>
      <c r="U54" s="424" t="str">
        <f t="shared" si="8"/>
        <v/>
      </c>
      <c r="V54" s="424" t="str">
        <f t="shared" si="8"/>
        <v/>
      </c>
      <c r="W54" s="424" t="str">
        <f t="shared" si="8"/>
        <v/>
      </c>
      <c r="X54" s="424" t="str">
        <f t="shared" si="8"/>
        <v/>
      </c>
      <c r="Y54" s="424" t="str">
        <f t="shared" si="8"/>
        <v/>
      </c>
      <c r="Z54" s="424" t="str">
        <f t="shared" si="8"/>
        <v/>
      </c>
      <c r="AA54" s="424" t="str">
        <f t="shared" si="8"/>
        <v/>
      </c>
      <c r="AB54" s="424" t="str">
        <f t="shared" si="8"/>
        <v/>
      </c>
      <c r="AC54" s="424" t="str">
        <f t="shared" si="8"/>
        <v/>
      </c>
      <c r="AD54" s="424" t="str">
        <f t="shared" si="8"/>
        <v/>
      </c>
      <c r="AE54" s="424" t="str">
        <f t="shared" si="8"/>
        <v/>
      </c>
      <c r="AF54" s="424" t="str">
        <f t="shared" si="8"/>
        <v/>
      </c>
      <c r="AG54" s="424" t="str">
        <f t="shared" si="8"/>
        <v/>
      </c>
      <c r="AH54" s="424" t="str">
        <f t="shared" si="8"/>
        <v/>
      </c>
      <c r="AI54" s="424" t="str">
        <f t="shared" si="8"/>
        <v/>
      </c>
      <c r="AJ54" s="424" t="str">
        <f t="shared" si="8"/>
        <v/>
      </c>
    </row>
    <row r="55" spans="1:36" s="29" customFormat="1" ht="16">
      <c r="B55" s="39" t="s">
        <v>123</v>
      </c>
      <c r="C55" s="39"/>
      <c r="D55" s="39"/>
      <c r="E55" s="80"/>
      <c r="F55" s="39"/>
      <c r="G55" s="42">
        <f>G98</f>
        <v>-144375.00000000003</v>
      </c>
      <c r="H55" s="42">
        <f t="shared" ref="H55:AJ55" si="9">H98</f>
        <v>-137206.65880032792</v>
      </c>
      <c r="I55" s="42">
        <f t="shared" si="9"/>
        <v>-129536.53371667869</v>
      </c>
      <c r="J55" s="42">
        <f t="shared" si="9"/>
        <v>-121329.49987717408</v>
      </c>
      <c r="K55" s="42">
        <f t="shared" si="9"/>
        <v>-112547.97366890412</v>
      </c>
      <c r="L55" s="42">
        <f t="shared" si="9"/>
        <v>-103151.74062605525</v>
      </c>
      <c r="M55" s="42">
        <f t="shared" si="9"/>
        <v>-93097.771270206969</v>
      </c>
      <c r="N55" s="42">
        <f t="shared" si="9"/>
        <v>-82340.024059449323</v>
      </c>
      <c r="O55" s="42">
        <f t="shared" si="9"/>
        <v>-70829.234543938612</v>
      </c>
      <c r="P55" s="42">
        <f t="shared" si="9"/>
        <v>-58512.689762342161</v>
      </c>
      <c r="Q55" s="42">
        <f t="shared" si="9"/>
        <v>-45333.986846033964</v>
      </c>
      <c r="R55" s="42">
        <f t="shared" si="9"/>
        <v>-31232.774725584197</v>
      </c>
      <c r="S55" s="42">
        <f t="shared" si="9"/>
        <v>-16144.477756702943</v>
      </c>
      <c r="T55" s="42">
        <f t="shared" si="9"/>
        <v>0</v>
      </c>
      <c r="U55" s="42">
        <f t="shared" si="9"/>
        <v>0</v>
      </c>
      <c r="V55" s="42">
        <f t="shared" si="9"/>
        <v>0</v>
      </c>
      <c r="W55" s="42">
        <f t="shared" si="9"/>
        <v>0</v>
      </c>
      <c r="X55" s="42">
        <f t="shared" si="9"/>
        <v>0</v>
      </c>
      <c r="Y55" s="42">
        <f t="shared" si="9"/>
        <v>0</v>
      </c>
      <c r="Z55" s="42">
        <f t="shared" si="9"/>
        <v>0</v>
      </c>
      <c r="AA55" s="42">
        <f t="shared" si="9"/>
        <v>0</v>
      </c>
      <c r="AB55" s="42">
        <f t="shared" si="9"/>
        <v>0</v>
      </c>
      <c r="AC55" s="42">
        <f t="shared" si="9"/>
        <v>0</v>
      </c>
      <c r="AD55" s="42">
        <f t="shared" si="9"/>
        <v>0</v>
      </c>
      <c r="AE55" s="42">
        <f t="shared" si="9"/>
        <v>0</v>
      </c>
      <c r="AF55" s="42">
        <f t="shared" si="9"/>
        <v>0</v>
      </c>
      <c r="AG55" s="42">
        <f t="shared" si="9"/>
        <v>0</v>
      </c>
      <c r="AH55" s="42">
        <f t="shared" si="9"/>
        <v>0</v>
      </c>
      <c r="AI55" s="42">
        <f t="shared" si="9"/>
        <v>0</v>
      </c>
      <c r="AJ55" s="42">
        <f t="shared" si="9"/>
        <v>0</v>
      </c>
    </row>
    <row r="56" spans="1:36" s="29" customFormat="1" ht="16">
      <c r="B56" s="49" t="s">
        <v>71</v>
      </c>
      <c r="C56" s="49"/>
      <c r="D56" s="49"/>
      <c r="E56" s="82"/>
      <c r="F56" s="49"/>
      <c r="G56" s="50">
        <f>G51+G55</f>
        <v>275808.20986735867</v>
      </c>
      <c r="H56" s="50">
        <f t="shared" ref="H56:AJ56" si="10">H51+H55</f>
        <v>277046.78306703072</v>
      </c>
      <c r="I56" s="50">
        <f t="shared" si="10"/>
        <v>278668.54479067988</v>
      </c>
      <c r="J56" s="50">
        <f t="shared" si="10"/>
        <v>280706.24800298462</v>
      </c>
      <c r="K56" s="50">
        <f t="shared" si="10"/>
        <v>283195.05697151046</v>
      </c>
      <c r="L56" s="50">
        <f t="shared" si="10"/>
        <v>286172.71842982061</v>
      </c>
      <c r="M56" s="50">
        <f t="shared" si="10"/>
        <v>289679.74476943922</v>
      </c>
      <c r="N56" s="50">
        <f t="shared" si="10"/>
        <v>293759.61010364245</v>
      </c>
      <c r="O56" s="50">
        <f t="shared" si="10"/>
        <v>298458.96010506799</v>
      </c>
      <c r="P56" s="50">
        <f t="shared" si="10"/>
        <v>303827.83658229728</v>
      </c>
      <c r="Q56" s="50">
        <f t="shared" si="10"/>
        <v>243607.10897820431</v>
      </c>
      <c r="R56" s="50">
        <f t="shared" si="10"/>
        <v>249153.71081779158</v>
      </c>
      <c r="S56" s="50">
        <f t="shared" si="10"/>
        <v>255516.30530019323</v>
      </c>
      <c r="T56" s="50">
        <f t="shared" si="10"/>
        <v>261835.14199213305</v>
      </c>
      <c r="U56" s="50">
        <f t="shared" si="10"/>
        <v>251831.49659664574</v>
      </c>
      <c r="V56" s="50">
        <f t="shared" si="10"/>
        <v>242571.71131237363</v>
      </c>
      <c r="W56" s="50">
        <f t="shared" si="10"/>
        <v>233126.73032241606</v>
      </c>
      <c r="X56" s="50">
        <f t="shared" si="10"/>
        <v>223492.84971265926</v>
      </c>
      <c r="Y56" s="50">
        <f t="shared" si="10"/>
        <v>213666.29149070743</v>
      </c>
      <c r="Z56" s="50">
        <f t="shared" si="10"/>
        <v>202044.64169919112</v>
      </c>
      <c r="AA56" s="50">
        <f t="shared" si="10"/>
        <v>-2.1827872842550277E-13</v>
      </c>
      <c r="AB56" s="50">
        <f t="shared" si="10"/>
        <v>0</v>
      </c>
      <c r="AC56" s="50">
        <f t="shared" si="10"/>
        <v>0</v>
      </c>
      <c r="AD56" s="50">
        <f t="shared" si="10"/>
        <v>0</v>
      </c>
      <c r="AE56" s="50">
        <f t="shared" si="10"/>
        <v>0</v>
      </c>
      <c r="AF56" s="50">
        <f t="shared" si="10"/>
        <v>0</v>
      </c>
      <c r="AG56" s="50">
        <f t="shared" si="10"/>
        <v>0</v>
      </c>
      <c r="AH56" s="50">
        <f t="shared" si="10"/>
        <v>0</v>
      </c>
      <c r="AI56" s="50">
        <f t="shared" si="10"/>
        <v>0</v>
      </c>
      <c r="AJ56" s="50">
        <f t="shared" si="10"/>
        <v>0</v>
      </c>
    </row>
    <row r="57" spans="1:36" s="29" customFormat="1" ht="16">
      <c r="B57" s="31"/>
      <c r="C57" s="31"/>
      <c r="D57" s="31"/>
      <c r="E57" s="82"/>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row>
    <row r="58" spans="1:36" s="29" customFormat="1" ht="16">
      <c r="B58" s="36" t="s">
        <v>122</v>
      </c>
      <c r="C58" s="36"/>
      <c r="D58" s="36"/>
      <c r="E58" s="76"/>
      <c r="F58" s="36"/>
      <c r="G58" s="41">
        <f>G99</f>
        <v>-102404.87428103063</v>
      </c>
      <c r="H58" s="41">
        <f t="shared" ref="H58:AJ58" si="11">H99</f>
        <v>-109573.21548070277</v>
      </c>
      <c r="I58" s="41">
        <f t="shared" si="11"/>
        <v>-117243.34056435198</v>
      </c>
      <c r="J58" s="41">
        <f t="shared" si="11"/>
        <v>-125450.37440385661</v>
      </c>
      <c r="K58" s="41">
        <f t="shared" si="11"/>
        <v>-134231.90061212654</v>
      </c>
      <c r="L58" s="41">
        <f t="shared" si="11"/>
        <v>-143628.13365497545</v>
      </c>
      <c r="M58" s="41">
        <f t="shared" si="11"/>
        <v>-153682.10301082372</v>
      </c>
      <c r="N58" s="41">
        <f t="shared" si="11"/>
        <v>-164439.85022158138</v>
      </c>
      <c r="O58" s="41">
        <f t="shared" si="11"/>
        <v>-175950.63973709205</v>
      </c>
      <c r="P58" s="41">
        <f t="shared" si="11"/>
        <v>-188267.1845186885</v>
      </c>
      <c r="Q58" s="41">
        <f t="shared" si="11"/>
        <v>-201445.88743499672</v>
      </c>
      <c r="R58" s="41">
        <f t="shared" si="11"/>
        <v>-215547.09955544648</v>
      </c>
      <c r="S58" s="41">
        <f t="shared" si="11"/>
        <v>-230635.39652432772</v>
      </c>
      <c r="T58" s="41">
        <f t="shared" si="11"/>
        <v>0</v>
      </c>
      <c r="U58" s="41">
        <f t="shared" si="11"/>
        <v>0</v>
      </c>
      <c r="V58" s="41">
        <f t="shared" si="11"/>
        <v>0</v>
      </c>
      <c r="W58" s="41">
        <f t="shared" si="11"/>
        <v>0</v>
      </c>
      <c r="X58" s="41">
        <f t="shared" si="11"/>
        <v>0</v>
      </c>
      <c r="Y58" s="41">
        <f t="shared" si="11"/>
        <v>0</v>
      </c>
      <c r="Z58" s="41">
        <f t="shared" si="11"/>
        <v>0</v>
      </c>
      <c r="AA58" s="41">
        <f t="shared" si="11"/>
        <v>0</v>
      </c>
      <c r="AB58" s="41">
        <f t="shared" si="11"/>
        <v>0</v>
      </c>
      <c r="AC58" s="41">
        <f t="shared" si="11"/>
        <v>0</v>
      </c>
      <c r="AD58" s="41">
        <f t="shared" si="11"/>
        <v>0</v>
      </c>
      <c r="AE58" s="41">
        <f t="shared" si="11"/>
        <v>0</v>
      </c>
      <c r="AF58" s="41">
        <f t="shared" si="11"/>
        <v>0</v>
      </c>
      <c r="AG58" s="41">
        <f t="shared" si="11"/>
        <v>0</v>
      </c>
      <c r="AH58" s="41">
        <f t="shared" si="11"/>
        <v>0</v>
      </c>
      <c r="AI58" s="41">
        <f t="shared" si="11"/>
        <v>0</v>
      </c>
      <c r="AJ58" s="41">
        <f t="shared" si="11"/>
        <v>0</v>
      </c>
    </row>
    <row r="59" spans="1:36" s="38" customFormat="1" ht="16">
      <c r="B59" s="36" t="s">
        <v>185</v>
      </c>
      <c r="C59" s="36"/>
      <c r="D59" s="36"/>
      <c r="E59" s="76"/>
      <c r="F59" s="36"/>
      <c r="G59" s="41">
        <f>-G221</f>
        <v>0</v>
      </c>
      <c r="H59" s="41">
        <f t="shared" ref="H59:AJ59" si="12">-H221</f>
        <v>0</v>
      </c>
      <c r="I59" s="41">
        <f t="shared" si="12"/>
        <v>0</v>
      </c>
      <c r="J59" s="41">
        <f t="shared" si="12"/>
        <v>0</v>
      </c>
      <c r="K59" s="41">
        <f t="shared" si="12"/>
        <v>0</v>
      </c>
      <c r="L59" s="41">
        <f t="shared" si="12"/>
        <v>0</v>
      </c>
      <c r="M59" s="41">
        <f t="shared" si="12"/>
        <v>0</v>
      </c>
      <c r="N59" s="41">
        <f t="shared" si="12"/>
        <v>0</v>
      </c>
      <c r="O59" s="41">
        <f t="shared" si="12"/>
        <v>0</v>
      </c>
      <c r="P59" s="41">
        <f t="shared" si="12"/>
        <v>0</v>
      </c>
      <c r="Q59" s="41">
        <f t="shared" si="12"/>
        <v>0</v>
      </c>
      <c r="R59" s="41">
        <f t="shared" si="12"/>
        <v>0</v>
      </c>
      <c r="S59" s="41">
        <f t="shared" si="12"/>
        <v>0</v>
      </c>
      <c r="T59" s="41">
        <f t="shared" si="12"/>
        <v>123389.93714051534</v>
      </c>
      <c r="U59" s="41">
        <f t="shared" si="12"/>
        <v>0</v>
      </c>
      <c r="V59" s="41">
        <f t="shared" si="12"/>
        <v>0</v>
      </c>
      <c r="W59" s="41">
        <f t="shared" si="12"/>
        <v>0</v>
      </c>
      <c r="X59" s="41">
        <f t="shared" si="12"/>
        <v>0</v>
      </c>
      <c r="Y59" s="41">
        <f t="shared" si="12"/>
        <v>0</v>
      </c>
      <c r="Z59" s="41">
        <f t="shared" si="12"/>
        <v>213141.38735006598</v>
      </c>
      <c r="AA59" s="41">
        <f t="shared" si="12"/>
        <v>0</v>
      </c>
      <c r="AB59" s="41">
        <f t="shared" si="12"/>
        <v>0</v>
      </c>
      <c r="AC59" s="41">
        <f t="shared" si="12"/>
        <v>0</v>
      </c>
      <c r="AD59" s="41">
        <f t="shared" si="12"/>
        <v>0</v>
      </c>
      <c r="AE59" s="41">
        <f t="shared" si="12"/>
        <v>0</v>
      </c>
      <c r="AF59" s="41">
        <f t="shared" si="12"/>
        <v>0</v>
      </c>
      <c r="AG59" s="41">
        <f t="shared" si="12"/>
        <v>0</v>
      </c>
      <c r="AH59" s="41">
        <f t="shared" si="12"/>
        <v>0</v>
      </c>
      <c r="AI59" s="41">
        <f t="shared" si="12"/>
        <v>0</v>
      </c>
      <c r="AJ59" s="41">
        <f t="shared" si="12"/>
        <v>0</v>
      </c>
    </row>
    <row r="60" spans="1:36" s="38" customFormat="1" ht="16">
      <c r="B60" s="39" t="s">
        <v>186</v>
      </c>
      <c r="C60" s="39"/>
      <c r="D60" s="39"/>
      <c r="E60" s="80"/>
      <c r="F60" s="39"/>
      <c r="G60" s="42">
        <f>MIN(SUM(G213:G217),0)</f>
        <v>0</v>
      </c>
      <c r="H60" s="42">
        <f t="shared" ref="H60:AJ60" si="13">MIN(SUM(H213:H217),0)</f>
        <v>0</v>
      </c>
      <c r="I60" s="42">
        <f t="shared" si="13"/>
        <v>0</v>
      </c>
      <c r="J60" s="42">
        <f t="shared" si="13"/>
        <v>0</v>
      </c>
      <c r="K60" s="42">
        <f t="shared" si="13"/>
        <v>0</v>
      </c>
      <c r="L60" s="42">
        <f t="shared" si="13"/>
        <v>0</v>
      </c>
      <c r="M60" s="42">
        <f t="shared" si="13"/>
        <v>0</v>
      </c>
      <c r="N60" s="42">
        <f t="shared" si="13"/>
        <v>0</v>
      </c>
      <c r="O60" s="42">
        <f t="shared" si="13"/>
        <v>0</v>
      </c>
      <c r="P60" s="42">
        <f t="shared" si="13"/>
        <v>0</v>
      </c>
      <c r="Q60" s="42">
        <f t="shared" si="13"/>
        <v>0</v>
      </c>
      <c r="R60" s="42">
        <f t="shared" si="13"/>
        <v>0</v>
      </c>
      <c r="S60" s="42">
        <f t="shared" si="13"/>
        <v>0</v>
      </c>
      <c r="T60" s="42">
        <f t="shared" si="13"/>
        <v>0</v>
      </c>
      <c r="U60" s="42">
        <f t="shared" si="13"/>
        <v>0</v>
      </c>
      <c r="V60" s="42">
        <f t="shared" si="13"/>
        <v>0</v>
      </c>
      <c r="W60" s="42">
        <f t="shared" si="13"/>
        <v>0</v>
      </c>
      <c r="X60" s="42">
        <f t="shared" si="13"/>
        <v>0</v>
      </c>
      <c r="Y60" s="42">
        <f t="shared" si="13"/>
        <v>0</v>
      </c>
      <c r="Z60" s="42">
        <f t="shared" si="13"/>
        <v>0</v>
      </c>
      <c r="AA60" s="42">
        <f t="shared" si="13"/>
        <v>0</v>
      </c>
      <c r="AB60" s="42">
        <f t="shared" si="13"/>
        <v>0</v>
      </c>
      <c r="AC60" s="42">
        <f t="shared" si="13"/>
        <v>0</v>
      </c>
      <c r="AD60" s="42">
        <f t="shared" si="13"/>
        <v>0</v>
      </c>
      <c r="AE60" s="42">
        <f t="shared" si="13"/>
        <v>0</v>
      </c>
      <c r="AF60" s="42">
        <f t="shared" si="13"/>
        <v>0</v>
      </c>
      <c r="AG60" s="42">
        <f t="shared" si="13"/>
        <v>0</v>
      </c>
      <c r="AH60" s="42">
        <f t="shared" si="13"/>
        <v>0</v>
      </c>
      <c r="AI60" s="42">
        <f t="shared" si="13"/>
        <v>0</v>
      </c>
      <c r="AJ60" s="42">
        <f t="shared" si="13"/>
        <v>0</v>
      </c>
    </row>
    <row r="61" spans="1:36" s="29" customFormat="1" ht="17">
      <c r="A61" s="31"/>
      <c r="B61" s="51" t="s">
        <v>72</v>
      </c>
      <c r="C61" s="51"/>
      <c r="D61" s="51"/>
      <c r="E61" s="334"/>
      <c r="F61" s="334"/>
      <c r="G61" s="44">
        <f>G56+SUM(G58:G60)</f>
        <v>173403.33558632806</v>
      </c>
      <c r="H61" s="44">
        <f t="shared" ref="H61:AJ61" si="14">H56+SUM(H58:H60)</f>
        <v>167473.56758632796</v>
      </c>
      <c r="I61" s="44">
        <f t="shared" si="14"/>
        <v>161425.20422632789</v>
      </c>
      <c r="J61" s="44">
        <f t="shared" si="14"/>
        <v>155255.87359912801</v>
      </c>
      <c r="K61" s="44">
        <f t="shared" si="14"/>
        <v>148963.15635938392</v>
      </c>
      <c r="L61" s="44">
        <f t="shared" si="14"/>
        <v>142544.58477484516</v>
      </c>
      <c r="M61" s="44">
        <f t="shared" si="14"/>
        <v>135997.6417586155</v>
      </c>
      <c r="N61" s="44">
        <f t="shared" si="14"/>
        <v>129319.75988206107</v>
      </c>
      <c r="O61" s="44">
        <f t="shared" si="14"/>
        <v>122508.32036797595</v>
      </c>
      <c r="P61" s="44">
        <f t="shared" si="14"/>
        <v>115560.65206360878</v>
      </c>
      <c r="Q61" s="44">
        <f t="shared" si="14"/>
        <v>42161.22154320759</v>
      </c>
      <c r="R61" s="44">
        <f t="shared" si="14"/>
        <v>33606.611262345104</v>
      </c>
      <c r="S61" s="44">
        <f t="shared" si="14"/>
        <v>24880.908775865508</v>
      </c>
      <c r="T61" s="44">
        <f t="shared" si="14"/>
        <v>385225.07913264842</v>
      </c>
      <c r="U61" s="44">
        <f t="shared" si="14"/>
        <v>251831.49659664574</v>
      </c>
      <c r="V61" s="44">
        <f t="shared" si="14"/>
        <v>242571.71131237363</v>
      </c>
      <c r="W61" s="44">
        <f t="shared" si="14"/>
        <v>233126.73032241606</v>
      </c>
      <c r="X61" s="44">
        <f t="shared" si="14"/>
        <v>223492.84971265926</v>
      </c>
      <c r="Y61" s="44">
        <f t="shared" si="14"/>
        <v>213666.29149070743</v>
      </c>
      <c r="Z61" s="44">
        <f t="shared" si="14"/>
        <v>415186.02904925711</v>
      </c>
      <c r="AA61" s="44">
        <f t="shared" si="14"/>
        <v>-2.1827872842550277E-13</v>
      </c>
      <c r="AB61" s="44">
        <f t="shared" si="14"/>
        <v>0</v>
      </c>
      <c r="AC61" s="44">
        <f t="shared" si="14"/>
        <v>0</v>
      </c>
      <c r="AD61" s="44">
        <f t="shared" si="14"/>
        <v>0</v>
      </c>
      <c r="AE61" s="44">
        <f t="shared" si="14"/>
        <v>0</v>
      </c>
      <c r="AF61" s="44">
        <f t="shared" si="14"/>
        <v>0</v>
      </c>
      <c r="AG61" s="44">
        <f t="shared" si="14"/>
        <v>0</v>
      </c>
      <c r="AH61" s="44">
        <f t="shared" si="14"/>
        <v>0</v>
      </c>
      <c r="AI61" s="44">
        <f t="shared" si="14"/>
        <v>0</v>
      </c>
      <c r="AJ61" s="44">
        <f t="shared" si="14"/>
        <v>0</v>
      </c>
    </row>
    <row r="62" spans="1:36" s="29" customFormat="1" ht="16">
      <c r="B62" s="34"/>
      <c r="C62" s="34"/>
      <c r="D62" s="34"/>
      <c r="G62" s="52"/>
    </row>
    <row r="63" spans="1:36" s="29" customFormat="1" ht="16">
      <c r="B63" s="30" t="s">
        <v>73</v>
      </c>
      <c r="C63" s="30"/>
      <c r="D63" s="30"/>
      <c r="F63" s="87"/>
      <c r="G63" s="52"/>
    </row>
    <row r="64" spans="1:36" s="29" customFormat="1" ht="16">
      <c r="B64" s="31" t="s">
        <v>260</v>
      </c>
      <c r="C64" s="31"/>
      <c r="D64" s="31"/>
      <c r="F64" s="52">
        <f>-(Inputs!$G$29-Inputs!$G$80-$F$94)</f>
        <v>-1687499.9999999998</v>
      </c>
      <c r="G64" s="52">
        <v>0</v>
      </c>
      <c r="H64" s="52">
        <v>0</v>
      </c>
      <c r="I64" s="52">
        <v>0</v>
      </c>
      <c r="J64" s="52">
        <v>0</v>
      </c>
      <c r="K64" s="52">
        <v>0</v>
      </c>
      <c r="L64" s="52">
        <v>0</v>
      </c>
      <c r="M64" s="52">
        <v>0</v>
      </c>
      <c r="N64" s="52">
        <v>0</v>
      </c>
      <c r="O64" s="52">
        <v>0</v>
      </c>
      <c r="P64" s="52">
        <v>0</v>
      </c>
      <c r="Q64" s="52">
        <v>0</v>
      </c>
      <c r="R64" s="52">
        <v>0</v>
      </c>
      <c r="S64" s="52">
        <v>0</v>
      </c>
      <c r="T64" s="52">
        <v>0</v>
      </c>
      <c r="U64" s="52">
        <v>0</v>
      </c>
      <c r="V64" s="52">
        <v>0</v>
      </c>
      <c r="W64" s="52">
        <v>0</v>
      </c>
      <c r="X64" s="52">
        <v>0</v>
      </c>
      <c r="Y64" s="52">
        <v>0</v>
      </c>
      <c r="Z64" s="52">
        <v>0</v>
      </c>
      <c r="AA64" s="52">
        <v>0</v>
      </c>
      <c r="AB64" s="52">
        <v>0</v>
      </c>
      <c r="AC64" s="52">
        <v>0</v>
      </c>
      <c r="AD64" s="52">
        <v>0</v>
      </c>
      <c r="AE64" s="52">
        <v>0</v>
      </c>
      <c r="AF64" s="52">
        <v>0</v>
      </c>
      <c r="AG64" s="52">
        <v>0</v>
      </c>
      <c r="AH64" s="52">
        <v>0</v>
      </c>
      <c r="AI64" s="52">
        <v>0</v>
      </c>
      <c r="AJ64" s="52">
        <v>0</v>
      </c>
    </row>
    <row r="65" spans="2:36" s="29" customFormat="1" ht="16">
      <c r="B65" s="40" t="s">
        <v>72</v>
      </c>
      <c r="C65" s="40"/>
      <c r="D65" s="40"/>
      <c r="E65" s="40"/>
      <c r="F65" s="40"/>
      <c r="G65" s="53">
        <f>G61</f>
        <v>173403.33558632806</v>
      </c>
      <c r="H65" s="53">
        <f t="shared" ref="H65:AJ65" si="15">H61</f>
        <v>167473.56758632796</v>
      </c>
      <c r="I65" s="53">
        <f t="shared" si="15"/>
        <v>161425.20422632789</v>
      </c>
      <c r="J65" s="53">
        <f t="shared" si="15"/>
        <v>155255.87359912801</v>
      </c>
      <c r="K65" s="53">
        <f t="shared" si="15"/>
        <v>148963.15635938392</v>
      </c>
      <c r="L65" s="53">
        <f t="shared" si="15"/>
        <v>142544.58477484516</v>
      </c>
      <c r="M65" s="53">
        <f t="shared" si="15"/>
        <v>135997.6417586155</v>
      </c>
      <c r="N65" s="53">
        <f t="shared" si="15"/>
        <v>129319.75988206107</v>
      </c>
      <c r="O65" s="53">
        <f t="shared" si="15"/>
        <v>122508.32036797595</v>
      </c>
      <c r="P65" s="53">
        <f t="shared" si="15"/>
        <v>115560.65206360878</v>
      </c>
      <c r="Q65" s="53">
        <f t="shared" si="15"/>
        <v>42161.22154320759</v>
      </c>
      <c r="R65" s="53">
        <f t="shared" si="15"/>
        <v>33606.611262345104</v>
      </c>
      <c r="S65" s="53">
        <f t="shared" si="15"/>
        <v>24880.908775865508</v>
      </c>
      <c r="T65" s="53">
        <f t="shared" si="15"/>
        <v>385225.07913264842</v>
      </c>
      <c r="U65" s="53">
        <f t="shared" si="15"/>
        <v>251831.49659664574</v>
      </c>
      <c r="V65" s="53">
        <f t="shared" si="15"/>
        <v>242571.71131237363</v>
      </c>
      <c r="W65" s="53">
        <f t="shared" si="15"/>
        <v>233126.73032241606</v>
      </c>
      <c r="X65" s="53">
        <f t="shared" si="15"/>
        <v>223492.84971265926</v>
      </c>
      <c r="Y65" s="53">
        <f t="shared" si="15"/>
        <v>213666.29149070743</v>
      </c>
      <c r="Z65" s="53">
        <f t="shared" si="15"/>
        <v>415186.02904925711</v>
      </c>
      <c r="AA65" s="53">
        <f t="shared" si="15"/>
        <v>-2.1827872842550277E-13</v>
      </c>
      <c r="AB65" s="53">
        <f t="shared" si="15"/>
        <v>0</v>
      </c>
      <c r="AC65" s="53">
        <f t="shared" si="15"/>
        <v>0</v>
      </c>
      <c r="AD65" s="53">
        <f t="shared" si="15"/>
        <v>0</v>
      </c>
      <c r="AE65" s="53">
        <f t="shared" si="15"/>
        <v>0</v>
      </c>
      <c r="AF65" s="53">
        <f t="shared" si="15"/>
        <v>0</v>
      </c>
      <c r="AG65" s="53">
        <f t="shared" si="15"/>
        <v>0</v>
      </c>
      <c r="AH65" s="53">
        <f t="shared" si="15"/>
        <v>0</v>
      </c>
      <c r="AI65" s="53">
        <f t="shared" si="15"/>
        <v>0</v>
      </c>
      <c r="AJ65" s="53">
        <f t="shared" si="15"/>
        <v>0</v>
      </c>
    </row>
    <row r="66" spans="2:36" s="29" customFormat="1" ht="17">
      <c r="B66" s="51" t="s">
        <v>124</v>
      </c>
      <c r="C66" s="51"/>
      <c r="D66" s="51"/>
      <c r="E66" s="397"/>
      <c r="F66" s="52">
        <f t="shared" ref="F66:AJ66" si="16">SUM(F64:F65)</f>
        <v>-1687499.9999999998</v>
      </c>
      <c r="G66" s="52">
        <f t="shared" si="16"/>
        <v>173403.33558632806</v>
      </c>
      <c r="H66" s="52">
        <f t="shared" si="16"/>
        <v>167473.56758632796</v>
      </c>
      <c r="I66" s="52">
        <f t="shared" si="16"/>
        <v>161425.20422632789</v>
      </c>
      <c r="J66" s="52">
        <f t="shared" si="16"/>
        <v>155255.87359912801</v>
      </c>
      <c r="K66" s="52">
        <f t="shared" si="16"/>
        <v>148963.15635938392</v>
      </c>
      <c r="L66" s="52">
        <f t="shared" si="16"/>
        <v>142544.58477484516</v>
      </c>
      <c r="M66" s="52">
        <f t="shared" si="16"/>
        <v>135997.6417586155</v>
      </c>
      <c r="N66" s="52">
        <f t="shared" si="16"/>
        <v>129319.75988206107</v>
      </c>
      <c r="O66" s="52">
        <f t="shared" si="16"/>
        <v>122508.32036797595</v>
      </c>
      <c r="P66" s="52">
        <f t="shared" si="16"/>
        <v>115560.65206360878</v>
      </c>
      <c r="Q66" s="52">
        <f t="shared" si="16"/>
        <v>42161.22154320759</v>
      </c>
      <c r="R66" s="52">
        <f t="shared" si="16"/>
        <v>33606.611262345104</v>
      </c>
      <c r="S66" s="52">
        <f t="shared" si="16"/>
        <v>24880.908775865508</v>
      </c>
      <c r="T66" s="52">
        <f t="shared" si="16"/>
        <v>385225.07913264842</v>
      </c>
      <c r="U66" s="52">
        <f t="shared" si="16"/>
        <v>251831.49659664574</v>
      </c>
      <c r="V66" s="52">
        <f t="shared" si="16"/>
        <v>242571.71131237363</v>
      </c>
      <c r="W66" s="52">
        <f t="shared" si="16"/>
        <v>233126.73032241606</v>
      </c>
      <c r="X66" s="52">
        <f t="shared" si="16"/>
        <v>223492.84971265926</v>
      </c>
      <c r="Y66" s="52">
        <f t="shared" si="16"/>
        <v>213666.29149070743</v>
      </c>
      <c r="Z66" s="52">
        <f t="shared" si="16"/>
        <v>415186.02904925711</v>
      </c>
      <c r="AA66" s="52">
        <f t="shared" si="16"/>
        <v>-2.1827872842550277E-13</v>
      </c>
      <c r="AB66" s="52">
        <f t="shared" si="16"/>
        <v>0</v>
      </c>
      <c r="AC66" s="52">
        <f t="shared" si="16"/>
        <v>0</v>
      </c>
      <c r="AD66" s="52">
        <f t="shared" si="16"/>
        <v>0</v>
      </c>
      <c r="AE66" s="52">
        <f t="shared" si="16"/>
        <v>0</v>
      </c>
      <c r="AF66" s="52">
        <f t="shared" si="16"/>
        <v>0</v>
      </c>
      <c r="AG66" s="52">
        <f t="shared" si="16"/>
        <v>0</v>
      </c>
      <c r="AH66" s="52">
        <f t="shared" si="16"/>
        <v>0</v>
      </c>
      <c r="AI66" s="52">
        <f t="shared" si="16"/>
        <v>0</v>
      </c>
      <c r="AJ66" s="52">
        <f t="shared" si="16"/>
        <v>0</v>
      </c>
    </row>
    <row r="67" spans="2:36" s="29" customFormat="1" ht="17">
      <c r="B67" s="54" t="s">
        <v>74</v>
      </c>
      <c r="C67" s="54"/>
      <c r="D67" s="54"/>
      <c r="E67" s="52"/>
      <c r="F67" s="85"/>
      <c r="G67" s="380">
        <f>IF(ISERROR(IRR($F66:G66)),"NA",IRR($F66:G66))</f>
        <v>-0.8972424678006945</v>
      </c>
      <c r="H67" s="380">
        <f>IF(ISERROR(IRR($F66:H66)),"NA",IRR($F66:H66))</f>
        <v>-0.62942948398717835</v>
      </c>
      <c r="I67" s="380">
        <f>IF(ISERROR(IRR($F66:I66)),"NA",IRR($F66:I66))</f>
        <v>-0.42944527215722261</v>
      </c>
      <c r="J67" s="380">
        <f>IF(ISERROR(IRR($F66:J66)),"NA",IRR($F66:J66))</f>
        <v>-0.2972421235669811</v>
      </c>
      <c r="K67" s="380">
        <f>IF(ISERROR(IRR($F66:K66)),"NA",IRR($F66:K66))</f>
        <v>-0.20855694520059898</v>
      </c>
      <c r="L67" s="380">
        <f>IF(ISERROR(IRR($F66:L66)),"NA",IRR($F66:L66))</f>
        <v>-0.14710310414682914</v>
      </c>
      <c r="M67" s="380">
        <f>IF(ISERROR(IRR($F66:M66)),"NA",IRR($F66:M66))</f>
        <v>-0.10316613257519036</v>
      </c>
      <c r="N67" s="380">
        <f>IF(ISERROR(IRR($F66:N66)),"NA",IRR($F66:N66))</f>
        <v>-7.0900997273070976E-2</v>
      </c>
      <c r="O67" s="380">
        <f>IF(ISERROR(IRR($F66:O66)),"NA",IRR($F66:O66))</f>
        <v>-4.6677208989065799E-2</v>
      </c>
      <c r="P67" s="380">
        <f>IF(ISERROR(IRR($F66:P66)),"NA",IRR($F66:P66))</f>
        <v>-2.8160452589294671E-2</v>
      </c>
      <c r="Q67" s="380">
        <f>IF(ISERROR(IRR($F66:Q66)),"NA",IRR($F66:Q66))</f>
        <v>-2.2227637058012006E-2</v>
      </c>
      <c r="R67" s="380">
        <f>IF(ISERROR(IRR($F66:R66)),"NA",IRR($F66:R66))</f>
        <v>-1.775594909583722E-2</v>
      </c>
      <c r="S67" s="380">
        <f>IF(ISERROR(IRR($F66:S66)),"NA",IRR($F66:S66))</f>
        <v>-1.4594556390932767E-2</v>
      </c>
      <c r="T67" s="380">
        <f>IF(ISERROR(IRR($F66:T66)),"NA",IRR($F66:T66))</f>
        <v>1.9840251809343679E-2</v>
      </c>
      <c r="U67" s="380">
        <f>IF(ISERROR(IRR($F66:U66)),"NA",IRR($F66:U66))</f>
        <v>3.4238214742871476E-2</v>
      </c>
      <c r="V67" s="380">
        <f>IF(ISERROR(IRR($F66:V66)),"NA",IRR($F66:V66))</f>
        <v>4.4846455324420553E-2</v>
      </c>
      <c r="W67" s="380">
        <f>IF(ISERROR(IRR($F66:W66)),"NA",IRR($F66:W66))</f>
        <v>5.2949610851402706E-2</v>
      </c>
      <c r="X67" s="380">
        <f>IF(ISERROR(IRR($F66:X66)),"NA",IRR($F66:X66))</f>
        <v>5.9285974956736043E-2</v>
      </c>
      <c r="Y67" s="380">
        <f>IF(ISERROR(IRR($F66:Y66)),"NA",IRR($F66:Y66))</f>
        <v>6.432200152325418E-2</v>
      </c>
      <c r="Z67" s="380">
        <f>IF(ISERROR(IRR($F66:Z66)),"NA",IRR($F66:Z66))</f>
        <v>7.219534467474964E-2</v>
      </c>
      <c r="AA67" s="380">
        <f>IF(ISERROR(IRR($F66:AA66)),"NA",IRR($F66:AA66))</f>
        <v>7.219534467474964E-2</v>
      </c>
      <c r="AB67" s="380">
        <f>IF(ISERROR(IRR($F66:AB66)),"NA",IRR($F66:AB66))</f>
        <v>7.219534467474964E-2</v>
      </c>
      <c r="AC67" s="380">
        <f>IF(ISERROR(IRR($F66:AC66)),"NA",IRR($F66:AC66))</f>
        <v>7.219534467474964E-2</v>
      </c>
      <c r="AD67" s="380">
        <f>IF(ISERROR(IRR($F66:AD66)),"NA",IRR($F66:AD66))</f>
        <v>7.219534467474964E-2</v>
      </c>
      <c r="AE67" s="380">
        <f>IF(ISERROR(IRR($F66:AE66)),"NA",IRR($F66:AE66))</f>
        <v>7.219534467474964E-2</v>
      </c>
      <c r="AF67" s="380">
        <f>IF(ISERROR(IRR($F66:AF66)),"NA",IRR($F66:AF66))</f>
        <v>7.219534467474964E-2</v>
      </c>
      <c r="AG67" s="380">
        <f>IF(ISERROR(IRR($F66:AG66)),"NA",IRR($F66:AG66))</f>
        <v>7.219534467474964E-2</v>
      </c>
      <c r="AH67" s="380">
        <f>IF(ISERROR(IRR($F66:AH66)),"NA",IRR($F66:AH66))</f>
        <v>7.219534467474964E-2</v>
      </c>
      <c r="AI67" s="380">
        <f>IF(ISERROR(IRR($F66:AI66)),"NA",IRR($F66:AI66))</f>
        <v>7.219534467474964E-2</v>
      </c>
      <c r="AJ67" s="380">
        <f>IF(ISERROR(IRR($F66:AJ66)),"NA",IRR($F66:AJ66))</f>
        <v>7.219534467474964E-2</v>
      </c>
    </row>
    <row r="68" spans="2:36" s="29" customFormat="1" ht="16">
      <c r="B68" s="54"/>
      <c r="C68" s="54"/>
      <c r="D68" s="54"/>
      <c r="E68" s="52"/>
      <c r="F68" s="8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row>
    <row r="69" spans="2:36" s="29" customFormat="1" ht="17">
      <c r="B69" s="389" t="s">
        <v>156</v>
      </c>
      <c r="C69" s="389"/>
      <c r="D69" s="389"/>
      <c r="E69" s="40"/>
      <c r="F69" s="343"/>
      <c r="G69" s="53">
        <f t="shared" ref="G69:AJ69" si="17">-G154</f>
        <v>-710156.25</v>
      </c>
      <c r="H69" s="53">
        <f t="shared" si="17"/>
        <v>-1137925.875</v>
      </c>
      <c r="I69" s="53">
        <f t="shared" si="17"/>
        <v>-685988.25</v>
      </c>
      <c r="J69" s="53">
        <f t="shared" si="17"/>
        <v>-414602.625</v>
      </c>
      <c r="K69" s="53">
        <f t="shared" si="17"/>
        <v>-413995.5</v>
      </c>
      <c r="L69" s="53">
        <f t="shared" si="17"/>
        <v>-210401.25</v>
      </c>
      <c r="M69" s="53">
        <f t="shared" si="17"/>
        <v>-7026.75</v>
      </c>
      <c r="N69" s="53">
        <f t="shared" si="17"/>
        <v>-6889.5</v>
      </c>
      <c r="O69" s="53">
        <f t="shared" si="17"/>
        <v>-6872.625</v>
      </c>
      <c r="P69" s="53">
        <f t="shared" si="17"/>
        <v>-6866.625</v>
      </c>
      <c r="Q69" s="53">
        <f t="shared" si="17"/>
        <v>-6872.625</v>
      </c>
      <c r="R69" s="53">
        <f t="shared" si="17"/>
        <v>-6866.625</v>
      </c>
      <c r="S69" s="53">
        <f t="shared" si="17"/>
        <v>-6872.625</v>
      </c>
      <c r="T69" s="53">
        <f t="shared" si="17"/>
        <v>-6866.625</v>
      </c>
      <c r="U69" s="53">
        <f t="shared" si="17"/>
        <v>-6872.625</v>
      </c>
      <c r="V69" s="53">
        <f t="shared" si="17"/>
        <v>-5207.25</v>
      </c>
      <c r="W69" s="53">
        <f t="shared" si="17"/>
        <v>-3548.25</v>
      </c>
      <c r="X69" s="53">
        <f t="shared" si="17"/>
        <v>-3547.875</v>
      </c>
      <c r="Y69" s="53">
        <f t="shared" si="17"/>
        <v>-3548.25</v>
      </c>
      <c r="Z69" s="53">
        <f t="shared" si="17"/>
        <v>-3547.875</v>
      </c>
      <c r="AA69" s="53">
        <f t="shared" si="17"/>
        <v>0</v>
      </c>
      <c r="AB69" s="53">
        <f t="shared" si="17"/>
        <v>0</v>
      </c>
      <c r="AC69" s="53">
        <f t="shared" si="17"/>
        <v>0</v>
      </c>
      <c r="AD69" s="53">
        <f t="shared" si="17"/>
        <v>0</v>
      </c>
      <c r="AE69" s="53">
        <f t="shared" si="17"/>
        <v>0</v>
      </c>
      <c r="AF69" s="53">
        <f t="shared" si="17"/>
        <v>0</v>
      </c>
      <c r="AG69" s="53">
        <f t="shared" si="17"/>
        <v>0</v>
      </c>
      <c r="AH69" s="53">
        <f t="shared" si="17"/>
        <v>0</v>
      </c>
      <c r="AI69" s="53">
        <f t="shared" si="17"/>
        <v>0</v>
      </c>
      <c r="AJ69" s="53">
        <f t="shared" si="17"/>
        <v>0</v>
      </c>
    </row>
    <row r="70" spans="2:36" s="29" customFormat="1" ht="16">
      <c r="B70" s="34" t="s">
        <v>279</v>
      </c>
      <c r="C70" s="34"/>
      <c r="D70" s="34"/>
      <c r="F70" s="86"/>
      <c r="G70" s="84">
        <f>IF(Inputs!$G$84="No",0,(G$56+G$69))</f>
        <v>-434348.04013264133</v>
      </c>
      <c r="H70" s="84">
        <f>IF(Inputs!$G$84="No",0,(H$56+H$69))</f>
        <v>-860879.09193296928</v>
      </c>
      <c r="I70" s="84">
        <f>IF(Inputs!$G$84="No",0,(I$56+I$69))</f>
        <v>-407319.70520932012</v>
      </c>
      <c r="J70" s="84">
        <f>IF(Inputs!$G$84="No",0,(J$56+J$69))</f>
        <v>-133896.37699701538</v>
      </c>
      <c r="K70" s="84">
        <f>IF(Inputs!$G$84="No",0,(K$56+K$69))</f>
        <v>-130800.44302848954</v>
      </c>
      <c r="L70" s="84">
        <f>IF(Inputs!$G$84="No",0,(L$56+L$69))</f>
        <v>75771.468429820612</v>
      </c>
      <c r="M70" s="84">
        <f>IF(Inputs!$G$84="No",0,(M$56+M$69))</f>
        <v>282652.99476943922</v>
      </c>
      <c r="N70" s="84">
        <f>IF(Inputs!$G$84="No",0,(N$56+N$69))</f>
        <v>286870.11010364245</v>
      </c>
      <c r="O70" s="84">
        <f>IF(Inputs!$G$84="No",0,(O$56+O$69))</f>
        <v>291586.33510506799</v>
      </c>
      <c r="P70" s="84">
        <f>IF(Inputs!$G$84="No",0,(P$56+P$69))</f>
        <v>296961.21158229728</v>
      </c>
      <c r="Q70" s="84">
        <f>IF(Inputs!$G$84="No",0,(Q$56+Q$69))</f>
        <v>236734.48397820431</v>
      </c>
      <c r="R70" s="84">
        <f>IF(Inputs!$G$84="No",0,(R$56+R$69))</f>
        <v>242287.08581779158</v>
      </c>
      <c r="S70" s="84">
        <f>IF(Inputs!$G$84="No",0,(S$56+S$69))</f>
        <v>248643.68030019323</v>
      </c>
      <c r="T70" s="84">
        <f>IF(Inputs!$G$84="No",0,(T$56+T$69))</f>
        <v>254968.51699213305</v>
      </c>
      <c r="U70" s="84">
        <f>IF(Inputs!$G$84="No",0,(U$56+U$69))</f>
        <v>244958.87159664574</v>
      </c>
      <c r="V70" s="84">
        <f>IF(Inputs!$G$84="No",0,(V$56+V$69))</f>
        <v>237364.46131237363</v>
      </c>
      <c r="W70" s="84">
        <f>IF(Inputs!$G$84="No",0,(W$56+W$69))</f>
        <v>229578.48032241606</v>
      </c>
      <c r="X70" s="84">
        <f>IF(Inputs!$G$84="No",0,(X$56+X$69))</f>
        <v>219944.97471265926</v>
      </c>
      <c r="Y70" s="84">
        <f>IF(Inputs!$G$84="No",0,(Y$56+Y$69))</f>
        <v>210118.04149070743</v>
      </c>
      <c r="Z70" s="84">
        <f>IF(Inputs!$G$84="No",0,(Z$56+Z$69))</f>
        <v>198496.76669919112</v>
      </c>
      <c r="AA70" s="84">
        <f>IF(Inputs!$G$84="No",0,(AA$56+AA$69))</f>
        <v>-2.1827872842550277E-13</v>
      </c>
      <c r="AB70" s="84">
        <f>IF(Inputs!$G$84="No",0,(AB$56+AB$69))</f>
        <v>0</v>
      </c>
      <c r="AC70" s="84">
        <f>IF(Inputs!$G$84="No",0,(AC$56+AC$69))</f>
        <v>0</v>
      </c>
      <c r="AD70" s="84">
        <f>IF(Inputs!$G$84="No",0,(AD$56+AD$69))</f>
        <v>0</v>
      </c>
      <c r="AE70" s="84">
        <f>IF(Inputs!$G$84="No",0,(AE$56+AE$69))</f>
        <v>0</v>
      </c>
      <c r="AF70" s="84">
        <f>IF(Inputs!$G$84="No",0,(AF$56+AF$69))</f>
        <v>0</v>
      </c>
      <c r="AG70" s="84">
        <f>IF(Inputs!$G$84="No",0,(AG$56+AG$69))</f>
        <v>0</v>
      </c>
      <c r="AH70" s="84">
        <f>IF(Inputs!$G$84="No",0,(AH$56+AH$69))</f>
        <v>0</v>
      </c>
      <c r="AI70" s="84">
        <f>IF(Inputs!$G$84="No",0,(AI$56+AI$69))</f>
        <v>0</v>
      </c>
      <c r="AJ70" s="84">
        <f>IF(Inputs!$G$84="No",0,(AJ$56+AJ$69))</f>
        <v>0</v>
      </c>
    </row>
    <row r="71" spans="2:36" s="29" customFormat="1" ht="16">
      <c r="B71" s="51"/>
      <c r="C71" s="51"/>
      <c r="D71" s="51"/>
      <c r="F71" s="86"/>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row>
    <row r="72" spans="2:36" s="29" customFormat="1" ht="16">
      <c r="B72" s="34" t="s">
        <v>280</v>
      </c>
      <c r="C72" s="34"/>
      <c r="D72" s="34"/>
      <c r="F72" s="344" t="str">
        <f>Inputs!G86</f>
        <v>As Generated</v>
      </c>
      <c r="G72" s="84">
        <f t="shared" ref="G72:AJ72" si="18">IF($F$72="as generated",G$70,G$169)</f>
        <v>-434348.04013264133</v>
      </c>
      <c r="H72" s="84">
        <f t="shared" si="18"/>
        <v>-860879.09193296928</v>
      </c>
      <c r="I72" s="84">
        <f t="shared" si="18"/>
        <v>-407319.70520932012</v>
      </c>
      <c r="J72" s="84">
        <f t="shared" si="18"/>
        <v>-133896.37699701538</v>
      </c>
      <c r="K72" s="84">
        <f t="shared" si="18"/>
        <v>-130800.44302848954</v>
      </c>
      <c r="L72" s="84">
        <f t="shared" si="18"/>
        <v>75771.468429820612</v>
      </c>
      <c r="M72" s="84">
        <f t="shared" si="18"/>
        <v>282652.99476943922</v>
      </c>
      <c r="N72" s="84">
        <f t="shared" si="18"/>
        <v>286870.11010364245</v>
      </c>
      <c r="O72" s="84">
        <f t="shared" si="18"/>
        <v>291586.33510506799</v>
      </c>
      <c r="P72" s="84">
        <f t="shared" si="18"/>
        <v>296961.21158229728</v>
      </c>
      <c r="Q72" s="84">
        <f t="shared" si="18"/>
        <v>236734.48397820431</v>
      </c>
      <c r="R72" s="84">
        <f t="shared" si="18"/>
        <v>242287.08581779158</v>
      </c>
      <c r="S72" s="84">
        <f t="shared" si="18"/>
        <v>248643.68030019323</v>
      </c>
      <c r="T72" s="84">
        <f t="shared" si="18"/>
        <v>254968.51699213305</v>
      </c>
      <c r="U72" s="84">
        <f t="shared" si="18"/>
        <v>244958.87159664574</v>
      </c>
      <c r="V72" s="84">
        <f t="shared" si="18"/>
        <v>237364.46131237363</v>
      </c>
      <c r="W72" s="84">
        <f t="shared" si="18"/>
        <v>229578.48032241606</v>
      </c>
      <c r="X72" s="84">
        <f t="shared" si="18"/>
        <v>219944.97471265926</v>
      </c>
      <c r="Y72" s="84">
        <f t="shared" si="18"/>
        <v>210118.04149070743</v>
      </c>
      <c r="Z72" s="84">
        <f t="shared" si="18"/>
        <v>198496.76669919112</v>
      </c>
      <c r="AA72" s="84">
        <f t="shared" si="18"/>
        <v>-2.1827872842550277E-13</v>
      </c>
      <c r="AB72" s="84">
        <f t="shared" si="18"/>
        <v>0</v>
      </c>
      <c r="AC72" s="84">
        <f t="shared" si="18"/>
        <v>0</v>
      </c>
      <c r="AD72" s="84">
        <f t="shared" si="18"/>
        <v>0</v>
      </c>
      <c r="AE72" s="84">
        <f t="shared" si="18"/>
        <v>0</v>
      </c>
      <c r="AF72" s="84">
        <f t="shared" si="18"/>
        <v>0</v>
      </c>
      <c r="AG72" s="84">
        <f t="shared" si="18"/>
        <v>0</v>
      </c>
      <c r="AH72" s="84">
        <f t="shared" si="18"/>
        <v>0</v>
      </c>
      <c r="AI72" s="84">
        <f t="shared" si="18"/>
        <v>0</v>
      </c>
      <c r="AJ72" s="84">
        <f t="shared" si="18"/>
        <v>0</v>
      </c>
    </row>
    <row r="73" spans="2:36" s="29" customFormat="1" ht="16">
      <c r="B73" s="34" t="s">
        <v>281</v>
      </c>
      <c r="C73" s="34"/>
      <c r="D73" s="34"/>
      <c r="F73" s="344" t="str">
        <f>Inputs!G88</f>
        <v>As Generated</v>
      </c>
      <c r="G73" s="84">
        <f t="shared" ref="G73:AJ73" si="19">IF($F$73="as generated",G$70,G$177)</f>
        <v>-434348.04013264133</v>
      </c>
      <c r="H73" s="84">
        <f t="shared" si="19"/>
        <v>-860879.09193296928</v>
      </c>
      <c r="I73" s="84">
        <f t="shared" si="19"/>
        <v>-407319.70520932012</v>
      </c>
      <c r="J73" s="84">
        <f t="shared" si="19"/>
        <v>-133896.37699701538</v>
      </c>
      <c r="K73" s="84">
        <f t="shared" si="19"/>
        <v>-130800.44302848954</v>
      </c>
      <c r="L73" s="84">
        <f t="shared" si="19"/>
        <v>75771.468429820612</v>
      </c>
      <c r="M73" s="84">
        <f t="shared" si="19"/>
        <v>282652.99476943922</v>
      </c>
      <c r="N73" s="84">
        <f t="shared" si="19"/>
        <v>286870.11010364245</v>
      </c>
      <c r="O73" s="84">
        <f t="shared" si="19"/>
        <v>291586.33510506799</v>
      </c>
      <c r="P73" s="84">
        <f t="shared" si="19"/>
        <v>296961.21158229728</v>
      </c>
      <c r="Q73" s="84">
        <f t="shared" si="19"/>
        <v>236734.48397820431</v>
      </c>
      <c r="R73" s="84">
        <f t="shared" si="19"/>
        <v>242287.08581779158</v>
      </c>
      <c r="S73" s="84">
        <f t="shared" si="19"/>
        <v>248643.68030019323</v>
      </c>
      <c r="T73" s="84">
        <f t="shared" si="19"/>
        <v>254968.51699213305</v>
      </c>
      <c r="U73" s="84">
        <f t="shared" si="19"/>
        <v>244958.87159664574</v>
      </c>
      <c r="V73" s="84">
        <f t="shared" si="19"/>
        <v>237364.46131237363</v>
      </c>
      <c r="W73" s="84">
        <f t="shared" si="19"/>
        <v>229578.48032241606</v>
      </c>
      <c r="X73" s="84">
        <f t="shared" si="19"/>
        <v>219944.97471265926</v>
      </c>
      <c r="Y73" s="84">
        <f t="shared" si="19"/>
        <v>210118.04149070743</v>
      </c>
      <c r="Z73" s="84">
        <f t="shared" si="19"/>
        <v>198496.76669919112</v>
      </c>
      <c r="AA73" s="84">
        <f t="shared" si="19"/>
        <v>-2.1827872842550277E-13</v>
      </c>
      <c r="AB73" s="84">
        <f t="shared" si="19"/>
        <v>0</v>
      </c>
      <c r="AC73" s="84">
        <f t="shared" si="19"/>
        <v>0</v>
      </c>
      <c r="AD73" s="84">
        <f t="shared" si="19"/>
        <v>0</v>
      </c>
      <c r="AE73" s="84">
        <f t="shared" si="19"/>
        <v>0</v>
      </c>
      <c r="AF73" s="84">
        <f t="shared" si="19"/>
        <v>0</v>
      </c>
      <c r="AG73" s="84">
        <f t="shared" si="19"/>
        <v>0</v>
      </c>
      <c r="AH73" s="84">
        <f t="shared" si="19"/>
        <v>0</v>
      </c>
      <c r="AI73" s="84">
        <f t="shared" si="19"/>
        <v>0</v>
      </c>
      <c r="AJ73" s="84">
        <f t="shared" si="19"/>
        <v>0</v>
      </c>
    </row>
    <row r="74" spans="2:36" s="29" customFormat="1" ht="16">
      <c r="B74" s="342"/>
      <c r="C74" s="342"/>
      <c r="D74" s="342"/>
      <c r="F74" s="86"/>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row>
    <row r="75" spans="2:36" s="38" customFormat="1" ht="16">
      <c r="B75" s="36" t="s">
        <v>140</v>
      </c>
      <c r="C75" s="36"/>
      <c r="D75" s="36"/>
      <c r="E75" s="334"/>
      <c r="G75" s="84">
        <f>IF(Inputs!$G$84="No",0,-(G$72+G$76)*Inputs!$G$85)</f>
        <v>137481.5717524784</v>
      </c>
      <c r="H75" s="84">
        <f>IF(Inputs!$G$84="No",0,-(H$72+H$76)*Inputs!$G$85)</f>
        <v>274045.7733295334</v>
      </c>
      <c r="I75" s="84">
        <f>IF(Inputs!$G$84="No",0,-(I$72+I$76)*Inputs!$G$85)</f>
        <v>128760.36461404475</v>
      </c>
      <c r="J75" s="84">
        <f>IF(Inputs!$G$84="No",0,-(J$72+J$76)*Inputs!$G$85)</f>
        <v>41162.868334469371</v>
      </c>
      <c r="K75" s="84">
        <f>IF(Inputs!$G$84="No",0,-(K$72+K$76)*Inputs!$G$85)</f>
        <v>40137.046553072476</v>
      </c>
      <c r="L75" s="84">
        <f>IF(Inputs!$G$84="No",0,-(L$72+L$76)*Inputs!$G$85)</f>
        <v>-26052.643997987372</v>
      </c>
      <c r="M75" s="84">
        <f>IF(Inputs!$G$84="No",0,-(M$72+M$76)*Inputs!$G$85)</f>
        <v>-92342.189432916974</v>
      </c>
      <c r="N75" s="84">
        <f>IF(Inputs!$G$84="No",0,-(N$72+N$76)*Inputs!$G$85)</f>
        <v>-93729.171975855643</v>
      </c>
      <c r="O75" s="84">
        <f>IF(Inputs!$G$84="No",0,-(O$72+O$76)*Inputs!$G$85)</f>
        <v>-95276.72341686544</v>
      </c>
      <c r="P75" s="84">
        <f>IF(Inputs!$G$84="No",0,-(P$72+P$76)*Inputs!$G$85)</f>
        <v>-97035.951600687491</v>
      </c>
      <c r="Q75" s="84">
        <f>IF(Inputs!$G$84="No",0,-(Q$72+Q$76)*Inputs!$G$85)</f>
        <v>-75814.218494019922</v>
      </c>
      <c r="R75" s="84">
        <f>IF(Inputs!$G$84="No",0,-(R$72+R$76)*Inputs!$G$85)</f>
        <v>-77592.439233147743</v>
      </c>
      <c r="S75" s="84">
        <f>IF(Inputs!$G$84="No",0,-(S$72+S$76)*Inputs!$G$85)</f>
        <v>-79628.138616136886</v>
      </c>
      <c r="T75" s="84">
        <f>IF(Inputs!$G$84="No",0,-(T$72+T$76)*Inputs!$G$85)</f>
        <v>-81653.667566730597</v>
      </c>
      <c r="U75" s="84">
        <f>IF(Inputs!$G$84="No",0,-(U$72+U$76)*Inputs!$G$85)</f>
        <v>-78448.078628825795</v>
      </c>
      <c r="V75" s="84">
        <f>IF(Inputs!$G$84="No",0,-(V$72+V$76)*Inputs!$G$85)</f>
        <v>-76015.96873528765</v>
      </c>
      <c r="W75" s="84">
        <f>IF(Inputs!$G$84="No",0,-(W$72+W$76)*Inputs!$G$85)</f>
        <v>-73522.508323253744</v>
      </c>
      <c r="X75" s="84">
        <f>IF(Inputs!$G$84="No",0,-(X$72+X$76)*Inputs!$G$85)</f>
        <v>-70437.378151729121</v>
      </c>
      <c r="Y75" s="84">
        <f>IF(Inputs!$G$84="No",0,-(Y$72+Y$76)*Inputs!$G$85)</f>
        <v>-67290.30278739905</v>
      </c>
      <c r="Z75" s="84">
        <f>IF(Inputs!$G$84="No",0,-(Z$72+Z$76)*Inputs!$G$85)</f>
        <v>-63568.589535415951</v>
      </c>
      <c r="AA75" s="84">
        <f>IF(Inputs!$G$84="No",0,-(AA$72+AA$76)*Inputs!$G$85)</f>
        <v>6.9903762778267262E-14</v>
      </c>
      <c r="AB75" s="84">
        <f>IF(Inputs!$G$84="No",0,-(AB$72+AB$76)*Inputs!$G$85)</f>
        <v>0</v>
      </c>
      <c r="AC75" s="84">
        <f>IF(Inputs!$G$84="No",0,-(AC$72+AC$76)*Inputs!$G$85)</f>
        <v>0</v>
      </c>
      <c r="AD75" s="84">
        <f>IF(Inputs!$G$84="No",0,-(AD$72+AD$76)*Inputs!$G$85)</f>
        <v>0</v>
      </c>
      <c r="AE75" s="84">
        <f>IF(Inputs!$G$84="No",0,-(AE$72+AE$76)*Inputs!$G$85)</f>
        <v>0</v>
      </c>
      <c r="AF75" s="84">
        <f>IF(Inputs!$G$84="No",0,-(AF$72+AF$76)*Inputs!$G$85)</f>
        <v>0</v>
      </c>
      <c r="AG75" s="84">
        <f>IF(Inputs!$G$84="No",0,-(AG$72+AG$76)*Inputs!$G$85)</f>
        <v>0</v>
      </c>
      <c r="AH75" s="84">
        <f>IF(Inputs!$G$84="No",0,-(AH$72+AH$76)*Inputs!$G$85)</f>
        <v>0</v>
      </c>
      <c r="AI75" s="84">
        <f>IF(Inputs!$G$84="No",0,-(AI$72+AI$76)*Inputs!$G$85)</f>
        <v>0</v>
      </c>
      <c r="AJ75" s="84">
        <f>IF(Inputs!$G$84="No",0,-(AJ$72+AJ$76)*Inputs!$G$85)</f>
        <v>0</v>
      </c>
    </row>
    <row r="76" spans="2:36" s="38" customFormat="1" ht="16">
      <c r="B76" s="36" t="s">
        <v>177</v>
      </c>
      <c r="C76" s="36"/>
      <c r="D76" s="36"/>
      <c r="G76" s="84">
        <f>IF(Inputs!$G$84="No",0,-(G$73-IF(AND(Inputs!$Q$52="Cash",Inputs!$Q$54="No"),'Cash Flow'!G$24,0))*Inputs!$G$87)</f>
        <v>41543.549411274515</v>
      </c>
      <c r="H76" s="84">
        <f>IF(Inputs!$G$84="No",0,-(H$73-IF(AND(Inputs!$Q$52="Cash",Inputs!$Q$54="No"),'Cash Flow'!H$24,0))*Inputs!$G$87)</f>
        <v>77891.168134302396</v>
      </c>
      <c r="I76" s="84">
        <f>IF(Inputs!$G$84="No",0,-(I$73-IF(AND(Inputs!$Q$52="Cash",Inputs!$Q$54="No"),'Cash Flow'!I$24,0))*Inputs!$G$87)</f>
        <v>39432.949169192209</v>
      </c>
      <c r="J76" s="84">
        <f>IF(Inputs!$G$84="No",0,-(J$73-IF(AND(Inputs!$Q$52="Cash",Inputs!$Q$54="No"),'Cash Flow'!J$24,0))*Inputs!$G$87)</f>
        <v>16288.181755674308</v>
      </c>
      <c r="K76" s="84">
        <f>IF(Inputs!$G$84="No",0,-(K$73-IF(AND(Inputs!$Q$52="Cash",Inputs!$Q$54="No"),'Cash Flow'!K$24,0))*Inputs!$G$87)</f>
        <v>16123.16716256817</v>
      </c>
      <c r="L76" s="84">
        <f>IF(Inputs!$G$84="No",0,-(L$73-IF(AND(Inputs!$Q$52="Cash",Inputs!$Q$54="No"),'Cash Flow'!L$24,0))*Inputs!$G$87)</f>
        <v>-1335.3427212852605</v>
      </c>
      <c r="M76" s="84">
        <f>IF(Inputs!$G$84="No",0,-(M$73-IF(AND(Inputs!$Q$52="Cash",Inputs!$Q$54="No"),'Cash Flow'!M$24,0))*Inputs!$G$87)</f>
        <v>-18818.167818247854</v>
      </c>
      <c r="N76" s="84">
        <f>IF(Inputs!$G$84="No",0,-(N$73-IF(AND(Inputs!$Q$52="Cash",Inputs!$Q$54="No"),'Cash Flow'!N$24,0))*Inputs!$G$87)</f>
        <v>-19072.475886912038</v>
      </c>
      <c r="O76" s="84">
        <f>IF(Inputs!$G$84="No",0,-(O$73-IF(AND(Inputs!$Q$52="Cash",Inputs!$Q$54="No"),'Cash Flow'!O$24,0))*Inputs!$G$87)</f>
        <v>-19367.125342595256</v>
      </c>
      <c r="P76" s="84">
        <f>IF(Inputs!$G$84="No",0,-(P$73-IF(AND(Inputs!$Q$52="Cash",Inputs!$Q$54="No"),'Cash Flow'!P$24,0))*Inputs!$G$87)</f>
        <v>-19715.635580333037</v>
      </c>
      <c r="Q76" s="84">
        <f>IF(Inputs!$G$84="No",0,-(Q$73-IF(AND(Inputs!$Q$52="Cash",Inputs!$Q$54="No"),'Cash Flow'!Q$24,0))*Inputs!$G$87)</f>
        <v>-20122.431138147367</v>
      </c>
      <c r="R76" s="84">
        <f>IF(Inputs!$G$84="No",0,-(R$73-IF(AND(Inputs!$Q$52="Cash",Inputs!$Q$54="No"),'Cash Flow'!R$24,0))*Inputs!$G$87)</f>
        <v>-20594.402294512285</v>
      </c>
      <c r="S76" s="84">
        <f>IF(Inputs!$G$84="No",0,-(S$73-IF(AND(Inputs!$Q$52="Cash",Inputs!$Q$54="No"),'Cash Flow'!S$24,0))*Inputs!$G$87)</f>
        <v>-21134.712825516424</v>
      </c>
      <c r="T76" s="84">
        <f>IF(Inputs!$G$84="No",0,-(T$73-IF(AND(Inputs!$Q$52="Cash",Inputs!$Q$54="No"),'Cash Flow'!T$24,0))*Inputs!$G$87)</f>
        <v>-21672.32394433131</v>
      </c>
      <c r="U76" s="84">
        <f>IF(Inputs!$G$84="No",0,-(U$73-IF(AND(Inputs!$Q$52="Cash",Inputs!$Q$54="No"),'Cash Flow'!U$24,0))*Inputs!$G$87)</f>
        <v>-20821.504085714889</v>
      </c>
      <c r="V76" s="84">
        <f>IF(Inputs!$G$84="No",0,-(V$73-IF(AND(Inputs!$Q$52="Cash",Inputs!$Q$54="No"),'Cash Flow'!V$24,0))*Inputs!$G$87)</f>
        <v>-20175.979211551759</v>
      </c>
      <c r="W76" s="84">
        <f>IF(Inputs!$G$84="No",0,-(W$73-IF(AND(Inputs!$Q$52="Cash",Inputs!$Q$54="No"),'Cash Flow'!W$24,0))*Inputs!$G$87)</f>
        <v>-19514.170827405367</v>
      </c>
      <c r="X76" s="84">
        <f>IF(Inputs!$G$84="No",0,-(X$73-IF(AND(Inputs!$Q$52="Cash",Inputs!$Q$54="No"),'Cash Flow'!X$24,0))*Inputs!$G$87)</f>
        <v>-18695.322850576038</v>
      </c>
      <c r="Y76" s="84">
        <f>IF(Inputs!$G$84="No",0,-(Y$73-IF(AND(Inputs!$Q$52="Cash",Inputs!$Q$54="No"),'Cash Flow'!Y$24,0))*Inputs!$G$87)</f>
        <v>-17860.033526710133</v>
      </c>
      <c r="Z76" s="84">
        <f>IF(Inputs!$G$84="No",0,-(Z$73-IF(AND(Inputs!$Q$52="Cash",Inputs!$Q$54="No"),'Cash Flow'!Z$24,0))*Inputs!$G$87)</f>
        <v>-16872.225169431247</v>
      </c>
      <c r="AA76" s="84">
        <f>IF(Inputs!$G$84="No",0,-(AA$73-IF(AND(Inputs!$Q$52="Cash",Inputs!$Q$54="No"),'Cash Flow'!AA$24,0))*Inputs!$G$87)</f>
        <v>1.8553691916167737E-14</v>
      </c>
      <c r="AB76" s="84">
        <f>IF(Inputs!$G$84="No",0,-(AB$73-IF(AND(Inputs!$Q$52="Cash",Inputs!$Q$54="No"),'Cash Flow'!AB$24,0))*Inputs!$G$87)</f>
        <v>0</v>
      </c>
      <c r="AC76" s="84">
        <f>IF(Inputs!$G$84="No",0,-(AC$73-IF(AND(Inputs!$Q$52="Cash",Inputs!$Q$54="No"),'Cash Flow'!AC$24,0))*Inputs!$G$87)</f>
        <v>0</v>
      </c>
      <c r="AD76" s="84">
        <f>IF(Inputs!$G$84="No",0,-(AD$73-IF(AND(Inputs!$Q$52="Cash",Inputs!$Q$54="No"),'Cash Flow'!AD$24,0))*Inputs!$G$87)</f>
        <v>0</v>
      </c>
      <c r="AE76" s="84">
        <f>IF(Inputs!$G$84="No",0,-(AE$73-IF(AND(Inputs!$Q$52="Cash",Inputs!$Q$54="No"),'Cash Flow'!AE$24,0))*Inputs!$G$87)</f>
        <v>0</v>
      </c>
      <c r="AF76" s="84">
        <f>IF(Inputs!$G$84="No",0,-(AF$73-IF(AND(Inputs!$Q$52="Cash",Inputs!$Q$54="No"),'Cash Flow'!AF$24,0))*Inputs!$G$87)</f>
        <v>0</v>
      </c>
      <c r="AG76" s="84">
        <f>IF(Inputs!$G$84="No",0,-(AG$73-IF(AND(Inputs!$Q$52="Cash",Inputs!$Q$54="No"),'Cash Flow'!AG$24,0))*Inputs!$G$87)</f>
        <v>0</v>
      </c>
      <c r="AH76" s="84">
        <f>IF(Inputs!$G$84="No",0,-(AH$73-IF(AND(Inputs!$Q$52="Cash",Inputs!$Q$54="No"),'Cash Flow'!AH$24,0))*Inputs!$G$87)</f>
        <v>0</v>
      </c>
      <c r="AI76" s="84">
        <f>IF(Inputs!$G$84="No",0,-(AI$73-IF(AND(Inputs!$Q$52="Cash",Inputs!$Q$54="No"),'Cash Flow'!AI$24,0))*Inputs!$G$87)</f>
        <v>0</v>
      </c>
      <c r="AJ76" s="84">
        <f>IF(Inputs!$G$84="No",0,-(AJ$73-IF(AND(Inputs!$Q$52="Cash",Inputs!$Q$54="No"),'Cash Flow'!AJ$24,0))*Inputs!$G$87)</f>
        <v>0</v>
      </c>
    </row>
    <row r="77" spans="2:36" s="29" customFormat="1" ht="16">
      <c r="B77" s="36" t="s">
        <v>266</v>
      </c>
      <c r="C77" s="36"/>
      <c r="D77" s="36"/>
      <c r="E77" s="334"/>
      <c r="F77" s="38"/>
      <c r="G77" s="41">
        <f>IF(AND(Inputs!$Q$33="Cost-Based",Inputs!$Q$34="Cash Grant",G$2=1),Inputs!$Q$37,IF(Inputs!$G$86="as generated",'Cash Flow'!G$184,-G$191))</f>
        <v>41706.36</v>
      </c>
      <c r="H77" s="41">
        <f>IF(AND(Inputs!$Q$33="Cost-Based",Inputs!$Q$34="Cash Grant",H$2=1),Inputs!$Q$37,IF(Inputs!$G$86="as generated",'Cash Flow'!H$184,-H$191))</f>
        <v>42540.487200000003</v>
      </c>
      <c r="I77" s="41">
        <f>IF(AND(Inputs!$Q$33="Cost-Based",Inputs!$Q$34="Cash Grant",I$2=1),Inputs!$Q$37,IF(Inputs!$G$86="as generated",'Cash Flow'!I$184,-I$191))</f>
        <v>43391.296943999994</v>
      </c>
      <c r="J77" s="41">
        <f>IF(AND(Inputs!$Q$33="Cost-Based",Inputs!$Q$34="Cash Grant",J$2=1),Inputs!$Q$37,IF(Inputs!$G$86="as generated",'Cash Flow'!J$184,-J$191))</f>
        <v>44259.122882879994</v>
      </c>
      <c r="K77" s="41">
        <f>IF(AND(Inputs!$Q$33="Cost-Based",Inputs!$Q$34="Cash Grant",K$2=1),Inputs!$Q$37,IF(Inputs!$G$86="as generated",'Cash Flow'!K$184,-K$191))</f>
        <v>45144.305340537598</v>
      </c>
      <c r="L77" s="41">
        <f>IF(AND(Inputs!$Q$33="Cost-Based",Inputs!$Q$34="Cash Grant",L$2=1),Inputs!$Q$37,IF(Inputs!$G$86="as generated",'Cash Flow'!L$184,-L$191))</f>
        <v>46047.191447348356</v>
      </c>
      <c r="M77" s="41">
        <f>IF(AND(Inputs!$Q$33="Cost-Based",Inputs!$Q$34="Cash Grant",M$2=1),Inputs!$Q$37,IF(Inputs!$G$86="as generated",'Cash Flow'!M$184,-M$191))</f>
        <v>46968.135276295317</v>
      </c>
      <c r="N77" s="41">
        <f>IF(AND(Inputs!$Q$33="Cost-Based",Inputs!$Q$34="Cash Grant",N$2=1),Inputs!$Q$37,IF(Inputs!$G$86="as generated",'Cash Flow'!N$184,-N$191))</f>
        <v>47907.49798182123</v>
      </c>
      <c r="O77" s="41">
        <f>IF(AND(Inputs!$Q$33="Cost-Based",Inputs!$Q$34="Cash Grant",O$2=1),Inputs!$Q$37,IF(Inputs!$G$86="as generated",'Cash Flow'!O$184,-O$191))</f>
        <v>48865.647941457653</v>
      </c>
      <c r="P77" s="41">
        <f>IF(AND(Inputs!$Q$33="Cost-Based",Inputs!$Q$34="Cash Grant",P$2=1),Inputs!$Q$37,IF(Inputs!$G$86="as generated",'Cash Flow'!P$184,-P$191))</f>
        <v>49842.960900286809</v>
      </c>
      <c r="Q77" s="41">
        <f>IF(AND(Inputs!$Q$33="Cost-Based",Inputs!$Q$34="Cash Grant",Q$2=1),Inputs!$Q$37,IF(Inputs!$G$86="as generated",'Cash Flow'!Q$184,-Q$191))</f>
        <v>0</v>
      </c>
      <c r="R77" s="41">
        <f>IF(AND(Inputs!$Q$33="Cost-Based",Inputs!$Q$34="Cash Grant",R$2=1),Inputs!$Q$37,IF(Inputs!$G$86="as generated",'Cash Flow'!R$184,-R$191))</f>
        <v>0</v>
      </c>
      <c r="S77" s="41">
        <f>IF(AND(Inputs!$Q$33="Cost-Based",Inputs!$Q$34="Cash Grant",S$2=1),Inputs!$Q$37,IF(Inputs!$G$86="as generated",'Cash Flow'!S$184,-S$191))</f>
        <v>0</v>
      </c>
      <c r="T77" s="41">
        <f>IF(AND(Inputs!$Q$33="Cost-Based",Inputs!$Q$34="Cash Grant",T$2=1),Inputs!$Q$37,IF(Inputs!$G$86="as generated",'Cash Flow'!T$184,-T$191))</f>
        <v>0</v>
      </c>
      <c r="U77" s="41">
        <f>IF(AND(Inputs!$Q$33="Cost-Based",Inputs!$Q$34="Cash Grant",U$2=1),Inputs!$Q$37,IF(Inputs!$G$86="as generated",'Cash Flow'!U$184,-U$191))</f>
        <v>0</v>
      </c>
      <c r="V77" s="41">
        <f>IF(AND(Inputs!$Q$33="Cost-Based",Inputs!$Q$34="Cash Grant",V$2=1),Inputs!$Q$37,IF(Inputs!$G$86="as generated",'Cash Flow'!V$184,-V$191))</f>
        <v>0</v>
      </c>
      <c r="W77" s="41">
        <f>IF(AND(Inputs!$Q$33="Cost-Based",Inputs!$Q$34="Cash Grant",W$2=1),Inputs!$Q$37,IF(Inputs!$G$86="as generated",'Cash Flow'!W$184,-W$191))</f>
        <v>0</v>
      </c>
      <c r="X77" s="41">
        <f>IF(AND(Inputs!$Q$33="Cost-Based",Inputs!$Q$34="Cash Grant",X$2=1),Inputs!$Q$37,IF(Inputs!$G$86="as generated",'Cash Flow'!X$184,-X$191))</f>
        <v>0</v>
      </c>
      <c r="Y77" s="41">
        <f>IF(AND(Inputs!$Q$33="Cost-Based",Inputs!$Q$34="Cash Grant",Y$2=1),Inputs!$Q$37,IF(Inputs!$G$86="as generated",'Cash Flow'!Y$184,-Y$191))</f>
        <v>0</v>
      </c>
      <c r="Z77" s="41">
        <f>IF(AND(Inputs!$Q$33="Cost-Based",Inputs!$Q$34="Cash Grant",Z$2=1),Inputs!$Q$37,IF(Inputs!$G$86="as generated",'Cash Flow'!Z$184,-Z$191))</f>
        <v>0</v>
      </c>
      <c r="AA77" s="41">
        <f>IF(AND(Inputs!$Q$33="Cost-Based",Inputs!$Q$34="Cash Grant",AA$2=1),Inputs!$Q$37,IF(Inputs!$G$86="as generated",'Cash Flow'!AA$184,-AA$191))</f>
        <v>0</v>
      </c>
      <c r="AB77" s="41">
        <f>IF(AND(Inputs!$Q$33="Cost-Based",Inputs!$Q$34="Cash Grant",AB$2=1),Inputs!$Q$37,IF(Inputs!$G$86="as generated",'Cash Flow'!AB$184,-AB$191))</f>
        <v>0</v>
      </c>
      <c r="AC77" s="41">
        <f>IF(AND(Inputs!$Q$33="Cost-Based",Inputs!$Q$34="Cash Grant",AC$2=1),Inputs!$Q$37,IF(Inputs!$G$86="as generated",'Cash Flow'!AC$184,-AC$191))</f>
        <v>0</v>
      </c>
      <c r="AD77" s="41">
        <f>IF(AND(Inputs!$Q$33="Cost-Based",Inputs!$Q$34="Cash Grant",AD$2=1),Inputs!$Q$37,IF(Inputs!$G$86="as generated",'Cash Flow'!AD$184,-AD$191))</f>
        <v>0</v>
      </c>
      <c r="AE77" s="41">
        <f>IF(AND(Inputs!$Q$33="Cost-Based",Inputs!$Q$34="Cash Grant",AE$2=1),Inputs!$Q$37,IF(Inputs!$G$86="as generated",'Cash Flow'!AE$184,-AE$191))</f>
        <v>0</v>
      </c>
      <c r="AF77" s="41">
        <f>IF(AND(Inputs!$Q$33="Cost-Based",Inputs!$Q$34="Cash Grant",AF$2=1),Inputs!$Q$37,IF(Inputs!$G$86="as generated",'Cash Flow'!AF$184,-AF$191))</f>
        <v>0</v>
      </c>
      <c r="AG77" s="41">
        <f>IF(AND(Inputs!$Q$33="Cost-Based",Inputs!$Q$34="Cash Grant",AG$2=1),Inputs!$Q$37,IF(Inputs!$G$86="as generated",'Cash Flow'!AG$184,-AG$191))</f>
        <v>0</v>
      </c>
      <c r="AH77" s="41">
        <f>IF(AND(Inputs!$Q$33="Cost-Based",Inputs!$Q$34="Cash Grant",AH$2=1),Inputs!$Q$37,IF(Inputs!$G$86="as generated",'Cash Flow'!AH$184,-AH$191))</f>
        <v>0</v>
      </c>
      <c r="AI77" s="41">
        <f>IF(AND(Inputs!$Q$33="Cost-Based",Inputs!$Q$34="Cash Grant",AI$2=1),Inputs!$Q$37,IF(Inputs!$G$86="as generated",'Cash Flow'!AI$184,-AI$191))</f>
        <v>0</v>
      </c>
      <c r="AJ77" s="41">
        <f>IF(AND(Inputs!$Q$33="Cost-Based",Inputs!$Q$34="Cash Grant",AJ$2=1),Inputs!$Q$37,IF(Inputs!$G$86="as generated",'Cash Flow'!AJ$184,-AJ$191))</f>
        <v>0</v>
      </c>
    </row>
    <row r="78" spans="2:36" s="29" customFormat="1" ht="16">
      <c r="B78" s="39" t="s">
        <v>143</v>
      </c>
      <c r="C78" s="39"/>
      <c r="D78" s="39"/>
      <c r="E78" s="335"/>
      <c r="F78" s="40"/>
      <c r="G78" s="42">
        <f>IF(Inputs!$G$88="as generated",'Cash Flow'!G$198,-G$205)</f>
        <v>0</v>
      </c>
      <c r="H78" s="42">
        <f>IF(Inputs!$G$88="as generated",'Cash Flow'!H$198,-H$205)</f>
        <v>0</v>
      </c>
      <c r="I78" s="42">
        <f>IF(Inputs!$G$88="as generated",'Cash Flow'!I$198,-I$205)</f>
        <v>0</v>
      </c>
      <c r="J78" s="42">
        <f>IF(Inputs!$G$88="as generated",'Cash Flow'!J$198,-J$205)</f>
        <v>0</v>
      </c>
      <c r="K78" s="42">
        <f>IF(Inputs!$G$88="as generated",'Cash Flow'!K$198,-K$205)</f>
        <v>0</v>
      </c>
      <c r="L78" s="42">
        <f>IF(Inputs!$G$88="as generated",'Cash Flow'!L$198,-L$205)</f>
        <v>0</v>
      </c>
      <c r="M78" s="42">
        <f>IF(Inputs!$G$88="as generated",'Cash Flow'!M$198,-M$205)</f>
        <v>0</v>
      </c>
      <c r="N78" s="42">
        <f>IF(Inputs!$G$88="as generated",'Cash Flow'!N$198,-N$205)</f>
        <v>0</v>
      </c>
      <c r="O78" s="42">
        <f>IF(Inputs!$G$88="as generated",'Cash Flow'!O$198,-O$205)</f>
        <v>0</v>
      </c>
      <c r="P78" s="42">
        <f>IF(Inputs!$G$88="as generated",'Cash Flow'!P$198,-P$205)</f>
        <v>0</v>
      </c>
      <c r="Q78" s="42">
        <f>IF(Inputs!$G$88="as generated",'Cash Flow'!Q$198,-Q$205)</f>
        <v>0</v>
      </c>
      <c r="R78" s="42">
        <f>IF(Inputs!$G$88="as generated",'Cash Flow'!R$198,-R$205)</f>
        <v>0</v>
      </c>
      <c r="S78" s="42">
        <f>IF(Inputs!$G$88="as generated",'Cash Flow'!S$198,-S$205)</f>
        <v>0</v>
      </c>
      <c r="T78" s="42">
        <f>IF(Inputs!$G$88="as generated",'Cash Flow'!T$198,-T$205)</f>
        <v>0</v>
      </c>
      <c r="U78" s="42">
        <f>IF(Inputs!$G$88="as generated",'Cash Flow'!U$198,-U$205)</f>
        <v>0</v>
      </c>
      <c r="V78" s="42">
        <f>IF(Inputs!$G$88="as generated",'Cash Flow'!V$198,-V$205)</f>
        <v>0</v>
      </c>
      <c r="W78" s="42">
        <f>IF(Inputs!$G$88="as generated",'Cash Flow'!W$198,-W$205)</f>
        <v>0</v>
      </c>
      <c r="X78" s="42">
        <f>IF(Inputs!$G$88="as generated",'Cash Flow'!X$198,-X$205)</f>
        <v>0</v>
      </c>
      <c r="Y78" s="42">
        <f>IF(Inputs!$G$88="as generated",'Cash Flow'!Y$198,-Y$205)</f>
        <v>0</v>
      </c>
      <c r="Z78" s="42">
        <f>IF(Inputs!$G$88="as generated",'Cash Flow'!Z$198,-Z$205)</f>
        <v>0</v>
      </c>
      <c r="AA78" s="42">
        <f>IF(Inputs!$G$88="as generated",'Cash Flow'!AA$198,-AA$205)</f>
        <v>0</v>
      </c>
      <c r="AB78" s="42">
        <f>IF(Inputs!$G$88="as generated",'Cash Flow'!AB$198,-AB$205)</f>
        <v>0</v>
      </c>
      <c r="AC78" s="42">
        <f>IF(Inputs!$G$88="as generated",'Cash Flow'!AC$198,-AC$205)</f>
        <v>0</v>
      </c>
      <c r="AD78" s="42">
        <f>IF(Inputs!$G$88="as generated",'Cash Flow'!AD$198,-AD$205)</f>
        <v>0</v>
      </c>
      <c r="AE78" s="42">
        <f>IF(Inputs!$G$88="as generated",'Cash Flow'!AE$198,-AE$205)</f>
        <v>0</v>
      </c>
      <c r="AF78" s="42">
        <f>IF(Inputs!$G$88="as generated",'Cash Flow'!AF$198,-AF$205)</f>
        <v>0</v>
      </c>
      <c r="AG78" s="42">
        <f>IF(Inputs!$G$88="as generated",'Cash Flow'!AG$198,-AG$205)</f>
        <v>0</v>
      </c>
      <c r="AH78" s="42">
        <f>IF(Inputs!$G$88="as generated",'Cash Flow'!AH$198,-AH$205)</f>
        <v>0</v>
      </c>
      <c r="AI78" s="42">
        <f>IF(Inputs!$G$88="as generated",'Cash Flow'!AI$198,-AI$205)</f>
        <v>0</v>
      </c>
      <c r="AJ78" s="42">
        <f>IF(Inputs!$G$88="as generated",'Cash Flow'!AJ$198,-AJ$205)</f>
        <v>0</v>
      </c>
    </row>
    <row r="79" spans="2:36" s="29" customFormat="1" ht="16">
      <c r="B79" s="34" t="s">
        <v>142</v>
      </c>
      <c r="C79" s="34"/>
      <c r="D79" s="34"/>
      <c r="E79" s="52"/>
      <c r="F79" s="44">
        <f t="shared" ref="F79:AJ79" si="20">F66+SUM(F75:F78)</f>
        <v>-1687499.9999999998</v>
      </c>
      <c r="G79" s="44">
        <f>G66+SUM(G75:G78)</f>
        <v>394134.81675008096</v>
      </c>
      <c r="H79" s="44">
        <f t="shared" si="20"/>
        <v>561950.99625016376</v>
      </c>
      <c r="I79" s="44">
        <f t="shared" si="20"/>
        <v>373009.81495356484</v>
      </c>
      <c r="J79" s="44">
        <f t="shared" si="20"/>
        <v>256966.04657215168</v>
      </c>
      <c r="K79" s="44">
        <f t="shared" si="20"/>
        <v>250367.67541556217</v>
      </c>
      <c r="L79" s="44">
        <f t="shared" si="20"/>
        <v>161203.78950292087</v>
      </c>
      <c r="M79" s="44">
        <f t="shared" si="20"/>
        <v>71805.419783745994</v>
      </c>
      <c r="N79" s="44">
        <f t="shared" si="20"/>
        <v>64425.610001114619</v>
      </c>
      <c r="O79" s="44">
        <f t="shared" si="20"/>
        <v>56730.119549972907</v>
      </c>
      <c r="P79" s="44">
        <f t="shared" si="20"/>
        <v>48652.025782875062</v>
      </c>
      <c r="Q79" s="44">
        <f t="shared" si="20"/>
        <v>-53775.428088959699</v>
      </c>
      <c r="R79" s="44">
        <f t="shared" si="20"/>
        <v>-64580.230265314924</v>
      </c>
      <c r="S79" s="44">
        <f t="shared" si="20"/>
        <v>-75881.942665787807</v>
      </c>
      <c r="T79" s="44">
        <f t="shared" si="20"/>
        <v>281899.08762158651</v>
      </c>
      <c r="U79" s="44">
        <f t="shared" si="20"/>
        <v>152561.91388210506</v>
      </c>
      <c r="V79" s="44">
        <f t="shared" si="20"/>
        <v>146379.76336553422</v>
      </c>
      <c r="W79" s="44">
        <f t="shared" si="20"/>
        <v>140090.05117175693</v>
      </c>
      <c r="X79" s="44">
        <f t="shared" si="20"/>
        <v>134360.14871035411</v>
      </c>
      <c r="Y79" s="44">
        <f t="shared" si="20"/>
        <v>128515.95517659825</v>
      </c>
      <c r="Z79" s="44">
        <f t="shared" si="20"/>
        <v>334745.21434440988</v>
      </c>
      <c r="AA79" s="44">
        <f t="shared" si="20"/>
        <v>-1.2982127373106776E-13</v>
      </c>
      <c r="AB79" s="44">
        <f t="shared" si="20"/>
        <v>0</v>
      </c>
      <c r="AC79" s="44">
        <f t="shared" si="20"/>
        <v>0</v>
      </c>
      <c r="AD79" s="44">
        <f t="shared" si="20"/>
        <v>0</v>
      </c>
      <c r="AE79" s="44">
        <f t="shared" si="20"/>
        <v>0</v>
      </c>
      <c r="AF79" s="44">
        <f t="shared" si="20"/>
        <v>0</v>
      </c>
      <c r="AG79" s="44">
        <f t="shared" si="20"/>
        <v>0</v>
      </c>
      <c r="AH79" s="44">
        <f t="shared" si="20"/>
        <v>0</v>
      </c>
      <c r="AI79" s="44">
        <f t="shared" si="20"/>
        <v>0</v>
      </c>
      <c r="AJ79" s="44">
        <f t="shared" si="20"/>
        <v>0</v>
      </c>
    </row>
    <row r="80" spans="2:36" s="29" customFormat="1" ht="17">
      <c r="B80" s="54" t="s">
        <v>141</v>
      </c>
      <c r="C80" s="54"/>
      <c r="D80" s="54"/>
      <c r="E80" s="52"/>
      <c r="F80" s="44"/>
      <c r="G80" s="380">
        <f>IF(ISERROR(IRR($F79:G79)),"NA",IRR($F79:G79))</f>
        <v>-0.76643862711106303</v>
      </c>
      <c r="H80" s="380">
        <f>IF(ISERROR(IRR($F79:H79)),"NA",IRR($F79:H79))</f>
        <v>-0.2944530386175761</v>
      </c>
      <c r="I80" s="380">
        <f>IF(ISERROR(IRR($F79:I79)),"NA",IRR($F79:I79))</f>
        <v>-0.11156741288034933</v>
      </c>
      <c r="J80" s="380">
        <f>IF(ISERROR(IRR($F79:J79)),"NA",IRR($F79:J79))</f>
        <v>-2.6316837635725565E-2</v>
      </c>
      <c r="K80" s="380">
        <f>IF(ISERROR(IRR($F79:K79)),"NA",IRR($F79:K79))</f>
        <v>3.2434124637782391E-2</v>
      </c>
      <c r="L80" s="380">
        <f>IF(ISERROR(IRR($F79:L79)),"NA",IRR($F79:L79))</f>
        <v>6.0429195766765087E-2</v>
      </c>
      <c r="M80" s="380">
        <f>IF(ISERROR(IRR($F79:M79)),"NA",IRR($F79:M79))</f>
        <v>7.0623020396582525E-2</v>
      </c>
      <c r="N80" s="380">
        <f>IF(ISERROR(IRR($F79:N79)),"NA",IRR($F79:N79))</f>
        <v>7.8472196121055271E-2</v>
      </c>
      <c r="O80" s="380">
        <f>IF(ISERROR(IRR($F79:O79)),"NA",IRR($F79:O79))</f>
        <v>8.4414089718550356E-2</v>
      </c>
      <c r="P80" s="380">
        <f>IF(ISERROR(IRR($F79:P79)),"NA",IRR($F79:P79))</f>
        <v>8.8818010374481338E-2</v>
      </c>
      <c r="Q80" s="380">
        <f>IF(ISERROR(IRR($F79:Q79)),"NA",IRR($F79:Q79))</f>
        <v>8.4326237962799588E-2</v>
      </c>
      <c r="R80" s="380">
        <f>IF(ISERROR(IRR($F79:R79)),"NA",IRR($F79:R79))</f>
        <v>7.8927770498732563E-2</v>
      </c>
      <c r="S80" s="380">
        <f>IF(ISERROR(IRR($F79:S79)),"NA",IRR($F79:S79))</f>
        <v>7.2343097216246655E-2</v>
      </c>
      <c r="T80" s="380">
        <f>IF(ISERROR(IRR($F79:T79)),"NA",IRR($F79:T79))</f>
        <v>9.1966671569487568E-2</v>
      </c>
      <c r="U80" s="380">
        <f>IF(ISERROR(IRR($F79:U79)),"NA",IRR($F79:U79))</f>
        <v>9.9350674436399E-2</v>
      </c>
      <c r="V80" s="380">
        <f>IF(ISERROR(IRR($F79:V79)),"NA",IRR($F79:V79))</f>
        <v>0.10495214847886247</v>
      </c>
      <c r="W80" s="380">
        <f>IF(ISERROR(IRR($F79:W79)),"NA",IRR($F79:W79))</f>
        <v>0.10928620226272545</v>
      </c>
      <c r="X80" s="380">
        <f>IF(ISERROR(IRR($F79:X79)),"NA",IRR($F79:X79))</f>
        <v>0.1127015966335343</v>
      </c>
      <c r="Y80" s="380">
        <f>IF(ISERROR(IRR($F79:Y79)),"NA",IRR($F79:Y79))</f>
        <v>0.11541896133559271</v>
      </c>
      <c r="Z80" s="380">
        <f>IF(ISERROR(IRR($F79:Z79)),"NA",IRR($F79:Z79))</f>
        <v>0.12108520247293408</v>
      </c>
      <c r="AA80" s="380">
        <f>IF(ISERROR(IRR($F79:AA79)),"NA",IRR($F79:AA79))</f>
        <v>0.12108520247293408</v>
      </c>
      <c r="AB80" s="380">
        <f>IF(ISERROR(IRR($F79:AB79)),"NA",IRR($F79:AB79))</f>
        <v>0.12108520247293408</v>
      </c>
      <c r="AC80" s="380">
        <f>IF(ISERROR(IRR($F79:AC79)),"NA",IRR($F79:AC79))</f>
        <v>0.12108520247293408</v>
      </c>
      <c r="AD80" s="380">
        <f>IF(ISERROR(IRR($F79:AD79)),"NA",IRR($F79:AD79))</f>
        <v>0.12108520247293408</v>
      </c>
      <c r="AE80" s="380">
        <f>IF(ISERROR(IRR($F79:AE79)),"NA",IRR($F79:AE79))</f>
        <v>0.12108520247293408</v>
      </c>
      <c r="AF80" s="380">
        <f>IF(ISERROR(IRR($F79:AF79)),"NA",IRR($F79:AF79))</f>
        <v>0.12108520247293408</v>
      </c>
      <c r="AG80" s="380">
        <f>IF(ISERROR(IRR($F79:AG79)),"NA",IRR($F79:AG79))</f>
        <v>0.12108520247293408</v>
      </c>
      <c r="AH80" s="380">
        <f>IF(ISERROR(IRR($F79:AH79)),"NA",IRR($F79:AH79))</f>
        <v>0.12108520247293408</v>
      </c>
      <c r="AI80" s="380">
        <f>IF(ISERROR(IRR($F79:AI79)),"NA",IRR($F79:AI79))</f>
        <v>0.12108520247293408</v>
      </c>
      <c r="AJ80" s="380">
        <f>IF(ISERROR(IRR($F79:AJ79)),"NA",IRR($F79:AJ79))</f>
        <v>0.12108520247293408</v>
      </c>
    </row>
    <row r="81" spans="2:36" s="29" customFormat="1" ht="17" thickBot="1">
      <c r="B81" s="34"/>
      <c r="C81" s="34"/>
      <c r="D81" s="34"/>
      <c r="E81" s="56"/>
      <c r="F81" s="396"/>
      <c r="G81" s="396"/>
      <c r="H81" s="396"/>
      <c r="I81" s="396"/>
      <c r="J81" s="396"/>
      <c r="K81" s="396"/>
      <c r="L81" s="396"/>
      <c r="M81" s="396"/>
      <c r="N81" s="44"/>
      <c r="O81" s="44"/>
      <c r="P81" s="44"/>
      <c r="Q81" s="44"/>
      <c r="R81" s="44"/>
      <c r="S81" s="44"/>
      <c r="T81" s="44"/>
      <c r="U81" s="44"/>
      <c r="V81" s="44"/>
      <c r="W81" s="44"/>
      <c r="X81" s="44"/>
      <c r="Y81" s="44"/>
      <c r="Z81" s="44"/>
      <c r="AA81" s="44"/>
      <c r="AB81" s="44"/>
      <c r="AC81" s="44"/>
      <c r="AD81" s="44"/>
      <c r="AE81" s="44"/>
      <c r="AF81" s="44"/>
      <c r="AG81" s="44"/>
      <c r="AH81" s="44"/>
      <c r="AI81" s="44"/>
      <c r="AJ81" s="44"/>
    </row>
    <row r="82" spans="2:36" s="29" customFormat="1" ht="17" thickBot="1">
      <c r="B82" s="813" t="s">
        <v>354</v>
      </c>
      <c r="C82" s="814"/>
      <c r="D82" s="509">
        <f>IRR(F66:AJ66)</f>
        <v>7.219534467474964E-2</v>
      </c>
      <c r="F82" s="44"/>
      <c r="G82" s="464" t="s">
        <v>180</v>
      </c>
      <c r="H82" s="473"/>
      <c r="I82" s="473"/>
      <c r="J82" s="474"/>
      <c r="K82" s="473"/>
      <c r="L82" s="44"/>
      <c r="O82" s="44"/>
      <c r="P82" s="44"/>
      <c r="Q82" s="44"/>
      <c r="R82" s="44"/>
      <c r="S82" s="44"/>
      <c r="T82" s="44"/>
      <c r="U82" s="44"/>
      <c r="V82" s="44"/>
      <c r="W82" s="44"/>
      <c r="X82" s="44"/>
      <c r="Y82" s="44"/>
      <c r="Z82" s="44"/>
      <c r="AA82" s="44"/>
      <c r="AB82" s="44"/>
      <c r="AC82" s="44"/>
      <c r="AD82" s="44"/>
      <c r="AE82" s="44"/>
      <c r="AF82" s="44"/>
      <c r="AG82" s="44"/>
      <c r="AH82" s="44"/>
      <c r="AI82" s="44"/>
      <c r="AJ82" s="44"/>
    </row>
    <row r="83" spans="2:36" s="29" customFormat="1" ht="18" thickBot="1">
      <c r="B83" s="511" t="s">
        <v>355</v>
      </c>
      <c r="C83" s="512"/>
      <c r="D83" s="509">
        <f>IRR(F79:AJ79)</f>
        <v>0.12108520247293408</v>
      </c>
      <c r="F83" s="44"/>
      <c r="G83" s="466" t="s">
        <v>270</v>
      </c>
      <c r="H83" s="475"/>
      <c r="I83" s="471"/>
      <c r="J83" s="472"/>
      <c r="K83" s="472"/>
      <c r="L83" s="44"/>
      <c r="O83" s="44"/>
      <c r="P83" s="44"/>
      <c r="Q83" s="44"/>
      <c r="R83" s="44"/>
      <c r="S83" s="44"/>
      <c r="T83" s="44"/>
      <c r="U83" s="44"/>
      <c r="V83" s="44"/>
      <c r="W83" s="44"/>
      <c r="X83" s="44"/>
      <c r="Y83" s="44"/>
      <c r="Z83" s="44"/>
      <c r="AA83" s="44"/>
      <c r="AB83" s="44"/>
      <c r="AC83" s="44"/>
      <c r="AD83" s="44"/>
      <c r="AE83" s="44"/>
      <c r="AF83" s="44"/>
      <c r="AG83" s="44"/>
      <c r="AH83" s="44"/>
      <c r="AI83" s="44"/>
      <c r="AJ83" s="44"/>
    </row>
    <row r="84" spans="2:36" s="29" customFormat="1" ht="17" thickBot="1">
      <c r="B84" s="815">
        <f>Inputs!$G$73</f>
        <v>0.12</v>
      </c>
      <c r="C84" s="816"/>
      <c r="D84" s="510">
        <f>NPV(Inputs!$G$73,'Cash Flow'!F79:AJ79)</f>
        <v>6306.4943027656354</v>
      </c>
      <c r="G84" s="465">
        <f>AVERAGE(R225:S225)</f>
        <v>11.349999999999998</v>
      </c>
      <c r="H84" s="475"/>
      <c r="I84" s="471"/>
      <c r="J84" s="476"/>
      <c r="K84" s="471"/>
    </row>
    <row r="85" spans="2:36" s="29" customFormat="1" ht="17" thickBot="1">
      <c r="B85" s="57"/>
      <c r="C85" s="57"/>
      <c r="D85" s="57"/>
      <c r="E85" s="58"/>
      <c r="F85" s="350"/>
      <c r="G85" s="333"/>
      <c r="H85" s="350"/>
      <c r="I85" s="350"/>
      <c r="J85" s="350"/>
      <c r="K85" s="350"/>
      <c r="L85" s="350"/>
      <c r="M85" s="350"/>
      <c r="N85" s="350"/>
      <c r="O85" s="350"/>
      <c r="P85" s="350"/>
      <c r="Q85" s="350"/>
      <c r="R85" s="350"/>
      <c r="S85" s="350"/>
      <c r="T85" s="350"/>
      <c r="U85" s="350"/>
      <c r="V85" s="350"/>
      <c r="W85" s="350"/>
      <c r="X85" s="350"/>
      <c r="Y85" s="350"/>
      <c r="Z85" s="350"/>
      <c r="AA85" s="350"/>
      <c r="AB85" s="350"/>
      <c r="AC85" s="350"/>
      <c r="AD85" s="350"/>
      <c r="AE85" s="350"/>
      <c r="AF85" s="350"/>
      <c r="AG85" s="350"/>
      <c r="AH85" s="350"/>
      <c r="AI85" s="350"/>
      <c r="AJ85" s="350"/>
    </row>
    <row r="86" spans="2:36" s="29" customFormat="1" ht="16">
      <c r="B86" s="59"/>
      <c r="C86" s="59"/>
      <c r="D86" s="59"/>
      <c r="E86" s="60"/>
      <c r="F86" s="60"/>
      <c r="G86" s="61"/>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0"/>
      <c r="AH86" s="60"/>
      <c r="AI86" s="60"/>
      <c r="AJ86" s="60"/>
    </row>
    <row r="87" spans="2:36" s="29" customFormat="1" ht="16">
      <c r="B87" s="62" t="s">
        <v>75</v>
      </c>
      <c r="C87" s="62"/>
      <c r="D87" s="62"/>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row>
    <row r="88" spans="2:36" s="29" customFormat="1" ht="17" thickBot="1">
      <c r="B88" s="89"/>
      <c r="C88" s="89"/>
      <c r="D88" s="89"/>
      <c r="E88" s="89"/>
      <c r="F88" s="89"/>
      <c r="G88" s="89"/>
      <c r="H88" s="89"/>
      <c r="I88" s="89"/>
      <c r="J88" s="89"/>
      <c r="K88" s="89"/>
      <c r="L88" s="89"/>
      <c r="M88" s="89"/>
      <c r="N88" s="89"/>
      <c r="O88" s="89"/>
      <c r="P88" s="89"/>
      <c r="Q88" s="89"/>
      <c r="R88" s="89"/>
      <c r="S88" s="89"/>
      <c r="T88" s="89"/>
      <c r="U88" s="89"/>
      <c r="V88" s="89"/>
      <c r="W88" s="89"/>
      <c r="X88" s="89"/>
      <c r="Y88" s="89"/>
      <c r="Z88" s="89"/>
      <c r="AA88" s="89"/>
      <c r="AB88" s="89"/>
      <c r="AC88" s="89"/>
      <c r="AD88" s="89"/>
      <c r="AE88" s="89"/>
      <c r="AF88" s="89"/>
      <c r="AG88" s="89"/>
      <c r="AH88" s="89"/>
      <c r="AI88" s="89"/>
      <c r="AJ88" s="89"/>
    </row>
    <row r="89" spans="2:36" s="29" customFormat="1" ht="16">
      <c r="B89" s="259"/>
      <c r="C89" s="259"/>
      <c r="D89" s="259"/>
      <c r="E89" s="259"/>
      <c r="F89" s="274"/>
      <c r="G89" s="284"/>
      <c r="H89" s="285"/>
      <c r="I89" s="259"/>
      <c r="J89" s="259"/>
      <c r="K89" s="259"/>
      <c r="L89" s="259"/>
      <c r="M89" s="259"/>
      <c r="N89" s="259"/>
      <c r="O89" s="259"/>
      <c r="P89" s="259"/>
      <c r="Q89" s="259"/>
      <c r="R89" s="259"/>
      <c r="S89" s="259"/>
      <c r="T89" s="259"/>
      <c r="U89" s="259"/>
      <c r="V89" s="259"/>
      <c r="W89" s="259"/>
      <c r="X89" s="259"/>
      <c r="Y89" s="259"/>
      <c r="Z89" s="259"/>
      <c r="AA89" s="259"/>
      <c r="AB89" s="259"/>
      <c r="AC89" s="259"/>
      <c r="AD89" s="259"/>
      <c r="AE89" s="259"/>
      <c r="AF89" s="259"/>
      <c r="AG89" s="259"/>
      <c r="AH89" s="259"/>
      <c r="AI89" s="259"/>
      <c r="AJ89" s="259"/>
    </row>
    <row r="90" spans="2:36" s="29" customFormat="1" ht="16">
      <c r="B90" s="258" t="s">
        <v>83</v>
      </c>
      <c r="C90" s="258"/>
      <c r="D90" s="258"/>
      <c r="E90" s="259"/>
      <c r="F90" s="259"/>
      <c r="G90" s="259"/>
      <c r="H90" s="259"/>
      <c r="I90" s="259"/>
      <c r="J90" s="259"/>
      <c r="K90" s="259"/>
      <c r="L90" s="259"/>
      <c r="M90" s="259"/>
      <c r="N90" s="259"/>
      <c r="O90" s="259"/>
      <c r="P90" s="259"/>
      <c r="Q90" s="259"/>
      <c r="R90" s="259"/>
      <c r="S90" s="259"/>
      <c r="T90" s="259"/>
      <c r="U90" s="259"/>
      <c r="V90" s="259"/>
      <c r="W90" s="259"/>
      <c r="X90" s="259"/>
      <c r="Y90" s="259"/>
      <c r="Z90" s="259"/>
      <c r="AA90" s="259"/>
      <c r="AB90" s="259"/>
      <c r="AC90" s="259"/>
      <c r="AD90" s="259"/>
      <c r="AE90" s="259"/>
      <c r="AF90" s="259"/>
      <c r="AG90" s="259"/>
      <c r="AH90" s="259"/>
      <c r="AI90" s="259"/>
      <c r="AJ90" s="259"/>
    </row>
    <row r="91" spans="2:36" s="29" customFormat="1" ht="16">
      <c r="B91" s="286" t="s">
        <v>85</v>
      </c>
      <c r="C91" s="286"/>
      <c r="D91" s="286"/>
      <c r="E91" s="287"/>
      <c r="F91" s="288"/>
      <c r="G91" s="289"/>
      <c r="H91" s="289"/>
      <c r="I91" s="289"/>
      <c r="J91" s="289"/>
      <c r="K91" s="289"/>
      <c r="L91" s="289"/>
      <c r="M91" s="289"/>
      <c r="N91" s="289"/>
      <c r="O91" s="289"/>
      <c r="P91" s="289"/>
      <c r="Q91" s="289"/>
      <c r="R91" s="289"/>
      <c r="S91" s="289"/>
      <c r="T91" s="289"/>
      <c r="U91" s="289"/>
      <c r="V91" s="289"/>
      <c r="W91" s="289"/>
      <c r="X91" s="289"/>
      <c r="Y91" s="289"/>
      <c r="Z91" s="289"/>
      <c r="AA91" s="289"/>
      <c r="AB91" s="289"/>
      <c r="AC91" s="289"/>
      <c r="AD91" s="289"/>
      <c r="AE91" s="289"/>
      <c r="AF91" s="289"/>
      <c r="AG91" s="289"/>
      <c r="AH91" s="289"/>
      <c r="AI91" s="289"/>
      <c r="AJ91" s="289"/>
    </row>
    <row r="92" spans="2:36" s="29" customFormat="1" ht="16">
      <c r="B92" s="287" t="s">
        <v>86</v>
      </c>
      <c r="C92" s="287"/>
      <c r="D92" s="287"/>
      <c r="E92" s="287"/>
      <c r="F92" s="288">
        <f>IF(Inputs!$G$21="Simple",Inputs!$G$29-Inputs!$G$80,IF(Inputs!$G$21="Intermediate",SUM(Inputs!G23:G26)-Inputs!G80,'Complex Inputs'!C26+'Complex Inputs'!C51+'Complex Inputs'!C76+'Complex Inputs'!C101))</f>
        <v>3750000</v>
      </c>
      <c r="G92" s="289"/>
      <c r="H92" s="289"/>
      <c r="I92" s="289"/>
      <c r="J92" s="289"/>
      <c r="K92" s="289"/>
      <c r="L92" s="289"/>
      <c r="M92" s="289"/>
      <c r="N92" s="289"/>
      <c r="O92" s="289"/>
      <c r="P92" s="289"/>
      <c r="Q92" s="289"/>
      <c r="R92" s="289"/>
      <c r="S92" s="289"/>
      <c r="T92" s="289"/>
      <c r="U92" s="289"/>
      <c r="V92" s="289"/>
      <c r="W92" s="289"/>
      <c r="X92" s="289"/>
      <c r="Y92" s="289"/>
      <c r="Z92" s="289"/>
      <c r="AA92" s="289"/>
      <c r="AB92" s="289"/>
      <c r="AC92" s="289"/>
      <c r="AD92" s="289"/>
      <c r="AE92" s="289"/>
      <c r="AF92" s="289"/>
      <c r="AG92" s="289"/>
      <c r="AH92" s="289"/>
      <c r="AI92" s="289"/>
      <c r="AJ92" s="289"/>
    </row>
    <row r="93" spans="2:36" s="29" customFormat="1" ht="16">
      <c r="B93" s="287" t="s">
        <v>87</v>
      </c>
      <c r="C93" s="287"/>
      <c r="D93" s="287"/>
      <c r="E93" s="287"/>
      <c r="F93" s="290">
        <f>Inputs!$G$62</f>
        <v>0.55000000000000004</v>
      </c>
      <c r="G93" s="289"/>
      <c r="H93" s="289"/>
      <c r="I93" s="289"/>
      <c r="J93" s="289"/>
      <c r="K93" s="289"/>
      <c r="L93" s="289"/>
      <c r="M93" s="289"/>
      <c r="N93" s="289"/>
      <c r="O93" s="289"/>
      <c r="P93" s="289"/>
      <c r="Q93" s="289"/>
      <c r="R93" s="289"/>
      <c r="S93" s="289"/>
      <c r="T93" s="289"/>
      <c r="U93" s="289"/>
      <c r="V93" s="289"/>
      <c r="W93" s="289"/>
      <c r="X93" s="289"/>
      <c r="Y93" s="289"/>
      <c r="Z93" s="289"/>
      <c r="AA93" s="289"/>
      <c r="AB93" s="289"/>
      <c r="AC93" s="289"/>
      <c r="AD93" s="289"/>
      <c r="AE93" s="289"/>
      <c r="AF93" s="289"/>
      <c r="AG93" s="289"/>
      <c r="AH93" s="289"/>
      <c r="AI93" s="289"/>
      <c r="AJ93" s="289"/>
    </row>
    <row r="94" spans="2:36" s="29" customFormat="1" ht="16">
      <c r="B94" s="287" t="s">
        <v>84</v>
      </c>
      <c r="C94" s="287"/>
      <c r="D94" s="287"/>
      <c r="E94" s="287"/>
      <c r="F94" s="291">
        <f>F92*F93</f>
        <v>2062500.0000000002</v>
      </c>
      <c r="G94" s="289"/>
      <c r="H94" s="289"/>
      <c r="I94" s="289"/>
      <c r="J94" s="289"/>
      <c r="K94" s="289"/>
      <c r="L94" s="289"/>
      <c r="M94" s="289"/>
      <c r="N94" s="289"/>
      <c r="O94" s="289"/>
      <c r="P94" s="289"/>
      <c r="Q94" s="289"/>
      <c r="R94" s="289"/>
      <c r="S94" s="289"/>
      <c r="T94" s="289"/>
      <c r="U94" s="289"/>
      <c r="V94" s="289"/>
      <c r="W94" s="289"/>
      <c r="X94" s="289"/>
      <c r="Y94" s="289"/>
      <c r="Z94" s="289"/>
      <c r="AA94" s="289"/>
      <c r="AB94" s="289"/>
      <c r="AC94" s="289"/>
      <c r="AD94" s="289"/>
      <c r="AE94" s="289"/>
      <c r="AF94" s="289"/>
      <c r="AG94" s="289"/>
      <c r="AH94" s="289"/>
      <c r="AI94" s="289"/>
      <c r="AJ94" s="289"/>
    </row>
    <row r="95" spans="2:36" s="29" customFormat="1" ht="16">
      <c r="B95" s="292"/>
      <c r="C95" s="292"/>
      <c r="D95" s="292"/>
      <c r="E95" s="292"/>
      <c r="F95" s="293"/>
      <c r="G95" s="289"/>
      <c r="H95" s="289"/>
      <c r="I95" s="289"/>
      <c r="J95" s="289"/>
      <c r="K95" s="289"/>
      <c r="L95" s="289"/>
      <c r="M95" s="289"/>
      <c r="N95" s="289"/>
      <c r="O95" s="289"/>
      <c r="P95" s="289"/>
      <c r="Q95" s="289"/>
      <c r="R95" s="289"/>
      <c r="S95" s="289"/>
      <c r="T95" s="289"/>
      <c r="U95" s="289"/>
      <c r="V95" s="289"/>
      <c r="W95" s="289"/>
      <c r="X95" s="289"/>
      <c r="Y95" s="289"/>
      <c r="Z95" s="289"/>
      <c r="AA95" s="289"/>
      <c r="AB95" s="289"/>
      <c r="AC95" s="289"/>
      <c r="AD95" s="289"/>
      <c r="AE95" s="289"/>
      <c r="AF95" s="289"/>
      <c r="AG95" s="289"/>
      <c r="AH95" s="289"/>
      <c r="AI95" s="289"/>
      <c r="AJ95" s="289"/>
    </row>
    <row r="96" spans="2:36" s="29" customFormat="1" ht="16">
      <c r="B96" s="286" t="s">
        <v>121</v>
      </c>
      <c r="C96" s="286"/>
      <c r="D96" s="286"/>
      <c r="E96" s="286"/>
      <c r="F96" s="293"/>
      <c r="G96" s="289"/>
      <c r="H96" s="289"/>
      <c r="I96" s="289"/>
      <c r="J96" s="289"/>
      <c r="K96" s="289"/>
      <c r="L96" s="289"/>
      <c r="M96" s="289"/>
      <c r="N96" s="289"/>
      <c r="O96" s="289"/>
      <c r="P96" s="289"/>
      <c r="Q96" s="289"/>
      <c r="R96" s="289"/>
      <c r="S96" s="289"/>
      <c r="T96" s="289"/>
      <c r="U96" s="289"/>
      <c r="V96" s="289"/>
      <c r="W96" s="289"/>
      <c r="X96" s="289"/>
      <c r="Y96" s="289"/>
      <c r="Z96" s="289"/>
      <c r="AA96" s="289"/>
      <c r="AB96" s="289"/>
      <c r="AC96" s="289"/>
      <c r="AD96" s="289"/>
      <c r="AE96" s="289"/>
      <c r="AF96" s="289"/>
      <c r="AG96" s="289"/>
      <c r="AH96" s="289"/>
      <c r="AI96" s="289"/>
      <c r="AJ96" s="289"/>
    </row>
    <row r="97" spans="2:36" s="29" customFormat="1" ht="16">
      <c r="B97" s="294" t="s">
        <v>93</v>
      </c>
      <c r="C97" s="294"/>
      <c r="D97" s="294"/>
      <c r="E97" s="294"/>
      <c r="F97" s="295">
        <v>0</v>
      </c>
      <c r="G97" s="296">
        <f>SUM(G98:G99)</f>
        <v>-246779.87428103067</v>
      </c>
      <c r="H97" s="296">
        <f t="shared" ref="H97:AJ97" si="21">SUM(H98:H99)</f>
        <v>-246779.87428103067</v>
      </c>
      <c r="I97" s="296">
        <f t="shared" si="21"/>
        <v>-246779.87428103067</v>
      </c>
      <c r="J97" s="296">
        <f t="shared" si="21"/>
        <v>-246779.87428103067</v>
      </c>
      <c r="K97" s="296">
        <f t="shared" si="21"/>
        <v>-246779.87428103067</v>
      </c>
      <c r="L97" s="296">
        <f t="shared" si="21"/>
        <v>-246779.8742810307</v>
      </c>
      <c r="M97" s="296">
        <f t="shared" si="21"/>
        <v>-246779.87428103067</v>
      </c>
      <c r="N97" s="296">
        <f t="shared" si="21"/>
        <v>-246779.8742810307</v>
      </c>
      <c r="O97" s="296">
        <f t="shared" si="21"/>
        <v>-246779.87428103067</v>
      </c>
      <c r="P97" s="296">
        <f t="shared" si="21"/>
        <v>-246779.87428103067</v>
      </c>
      <c r="Q97" s="296">
        <f t="shared" si="21"/>
        <v>-246779.87428103067</v>
      </c>
      <c r="R97" s="296">
        <f t="shared" si="21"/>
        <v>-246779.87428103067</v>
      </c>
      <c r="S97" s="296">
        <f t="shared" si="21"/>
        <v>-246779.87428103067</v>
      </c>
      <c r="T97" s="296">
        <f t="shared" si="21"/>
        <v>0</v>
      </c>
      <c r="U97" s="296">
        <f t="shared" si="21"/>
        <v>0</v>
      </c>
      <c r="V97" s="296">
        <f t="shared" si="21"/>
        <v>0</v>
      </c>
      <c r="W97" s="296">
        <f t="shared" si="21"/>
        <v>0</v>
      </c>
      <c r="X97" s="296">
        <f t="shared" si="21"/>
        <v>0</v>
      </c>
      <c r="Y97" s="296">
        <f t="shared" si="21"/>
        <v>0</v>
      </c>
      <c r="Z97" s="296">
        <f t="shared" si="21"/>
        <v>0</v>
      </c>
      <c r="AA97" s="296">
        <f t="shared" si="21"/>
        <v>0</v>
      </c>
      <c r="AB97" s="296">
        <f t="shared" si="21"/>
        <v>0</v>
      </c>
      <c r="AC97" s="296">
        <f t="shared" si="21"/>
        <v>0</v>
      </c>
      <c r="AD97" s="296">
        <f t="shared" si="21"/>
        <v>0</v>
      </c>
      <c r="AE97" s="296">
        <f t="shared" si="21"/>
        <v>0</v>
      </c>
      <c r="AF97" s="296">
        <f t="shared" si="21"/>
        <v>0</v>
      </c>
      <c r="AG97" s="296">
        <f t="shared" si="21"/>
        <v>0</v>
      </c>
      <c r="AH97" s="296">
        <f t="shared" si="21"/>
        <v>0</v>
      </c>
      <c r="AI97" s="296">
        <f t="shared" si="21"/>
        <v>0</v>
      </c>
      <c r="AJ97" s="296">
        <f t="shared" si="21"/>
        <v>0</v>
      </c>
    </row>
    <row r="98" spans="2:36" s="38" customFormat="1" ht="16">
      <c r="B98" s="297" t="s">
        <v>91</v>
      </c>
      <c r="C98" s="297"/>
      <c r="D98" s="297"/>
      <c r="E98" s="297"/>
      <c r="F98" s="295">
        <v>0</v>
      </c>
      <c r="G98" s="296">
        <f>IF(G$2&gt;Inputs!$G$63,0,IPMT(Inputs!$G$64,G$2,Inputs!$G$63,$F$94))</f>
        <v>-144375.00000000003</v>
      </c>
      <c r="H98" s="296">
        <f>IF(H$2&gt;Inputs!$G$63,0,IPMT(Inputs!$G$64,H$2,Inputs!$G$63,$F$94))</f>
        <v>-137206.65880032792</v>
      </c>
      <c r="I98" s="296">
        <f>IF(I$2&gt;Inputs!$G$63,0,IPMT(Inputs!$G$64,I$2,Inputs!$G$63,$F$94))</f>
        <v>-129536.53371667869</v>
      </c>
      <c r="J98" s="296">
        <f>IF(J$2&gt;Inputs!$G$63,0,IPMT(Inputs!$G$64,J$2,Inputs!$G$63,$F$94))</f>
        <v>-121329.49987717408</v>
      </c>
      <c r="K98" s="296">
        <f>IF(K$2&gt;Inputs!$G$63,0,IPMT(Inputs!$G$64,K$2,Inputs!$G$63,$F$94))</f>
        <v>-112547.97366890412</v>
      </c>
      <c r="L98" s="296">
        <f>IF(L$2&gt;Inputs!$G$63,0,IPMT(Inputs!$G$64,L$2,Inputs!$G$63,$F$94))</f>
        <v>-103151.74062605525</v>
      </c>
      <c r="M98" s="296">
        <f>IF(M$2&gt;Inputs!$G$63,0,IPMT(Inputs!$G$64,M$2,Inputs!$G$63,$F$94))</f>
        <v>-93097.771270206969</v>
      </c>
      <c r="N98" s="296">
        <f>IF(N$2&gt;Inputs!$G$63,0,IPMT(Inputs!$G$64,N$2,Inputs!$G$63,$F$94))</f>
        <v>-82340.024059449323</v>
      </c>
      <c r="O98" s="296">
        <f>IF(O$2&gt;Inputs!$G$63,0,IPMT(Inputs!$G$64,O$2,Inputs!$G$63,$F$94))</f>
        <v>-70829.234543938612</v>
      </c>
      <c r="P98" s="296">
        <f>IF(P$2&gt;Inputs!$G$63,0,IPMT(Inputs!$G$64,P$2,Inputs!$G$63,$F$94))</f>
        <v>-58512.689762342161</v>
      </c>
      <c r="Q98" s="296">
        <f>IF(Q$2&gt;Inputs!$G$63,0,IPMT(Inputs!$G$64,Q$2,Inputs!$G$63,$F$94))</f>
        <v>-45333.986846033964</v>
      </c>
      <c r="R98" s="296">
        <f>IF(R$2&gt;Inputs!$G$63,0,IPMT(Inputs!$G$64,R$2,Inputs!$G$63,$F$94))</f>
        <v>-31232.774725584197</v>
      </c>
      <c r="S98" s="296">
        <f>IF(S$2&gt;Inputs!$G$63,0,IPMT(Inputs!$G$64,S$2,Inputs!$G$63,$F$94))</f>
        <v>-16144.477756702943</v>
      </c>
      <c r="T98" s="296">
        <f>IF(T$2&gt;Inputs!$G$63,0,IPMT(Inputs!$G$64,T$2,Inputs!$G$63,$F$94))</f>
        <v>0</v>
      </c>
      <c r="U98" s="296">
        <f>IF(U$2&gt;Inputs!$G$63,0,IPMT(Inputs!$G$64,U$2,Inputs!$G$63,$F$94))</f>
        <v>0</v>
      </c>
      <c r="V98" s="296">
        <f>IF(V$2&gt;Inputs!$G$63,0,IPMT(Inputs!$G$64,V$2,Inputs!$G$63,$F$94))</f>
        <v>0</v>
      </c>
      <c r="W98" s="296">
        <f>IF(W$2&gt;Inputs!$G$63,0,IPMT(Inputs!$G$64,W$2,Inputs!$G$63,$F$94))</f>
        <v>0</v>
      </c>
      <c r="X98" s="296">
        <f>IF(X$2&gt;Inputs!$G$63,0,IPMT(Inputs!$G$64,X$2,Inputs!$G$63,$F$94))</f>
        <v>0</v>
      </c>
      <c r="Y98" s="296">
        <f>IF(Y$2&gt;Inputs!$G$63,0,IPMT(Inputs!$G$64,Y$2,Inputs!$G$63,$F$94))</f>
        <v>0</v>
      </c>
      <c r="Z98" s="296">
        <f>IF(Z$2&gt;Inputs!$G$63,0,IPMT(Inputs!$G$64,Z$2,Inputs!$G$63,$F$94))</f>
        <v>0</v>
      </c>
      <c r="AA98" s="296">
        <f>IF(AA$2&gt;Inputs!$G$63,0,IPMT(Inputs!$G$64,AA$2,Inputs!$G$63,$F$94))</f>
        <v>0</v>
      </c>
      <c r="AB98" s="296">
        <f>IF(AB$2&gt;Inputs!$G$63,0,IPMT(Inputs!$G$64,AB$2,Inputs!$G$63,$F$94))</f>
        <v>0</v>
      </c>
      <c r="AC98" s="296">
        <f>IF(AC$2&gt;Inputs!$G$63,0,IPMT(Inputs!$G$64,AC$2,Inputs!$G$63,$F$94))</f>
        <v>0</v>
      </c>
      <c r="AD98" s="296">
        <f>IF(AD$2&gt;Inputs!$G$63,0,IPMT(Inputs!$G$64,AD$2,Inputs!$G$63,$F$94))</f>
        <v>0</v>
      </c>
      <c r="AE98" s="296">
        <f>IF(AE$2&gt;Inputs!$G$63,0,IPMT(Inputs!$G$64,AE$2,Inputs!$G$63,$F$94))</f>
        <v>0</v>
      </c>
      <c r="AF98" s="296">
        <f>IF(AF$2&gt;Inputs!$G$63,0,IPMT(Inputs!$G$64,AF$2,Inputs!$G$63,$F$94))</f>
        <v>0</v>
      </c>
      <c r="AG98" s="296">
        <f>IF(AG$2&gt;Inputs!$G$63,0,IPMT(Inputs!$G$64,AG$2,Inputs!$G$63,$F$94))</f>
        <v>0</v>
      </c>
      <c r="AH98" s="296">
        <f>IF(AH$2&gt;Inputs!$G$63,0,IPMT(Inputs!$G$64,AH$2,Inputs!$G$63,$F$94))</f>
        <v>0</v>
      </c>
      <c r="AI98" s="296">
        <f>IF(AI$2&gt;Inputs!$G$63,0,IPMT(Inputs!$G$64,AI$2,Inputs!$G$63,$F$94))</f>
        <v>0</v>
      </c>
      <c r="AJ98" s="296">
        <f>IF(AJ$2&gt;Inputs!$G$63,0,IPMT(Inputs!$G$64,AJ$2,Inputs!$G$63,$F$94))</f>
        <v>0</v>
      </c>
    </row>
    <row r="99" spans="2:36" s="29" customFormat="1" ht="16">
      <c r="B99" s="294" t="s">
        <v>92</v>
      </c>
      <c r="C99" s="294"/>
      <c r="D99" s="294"/>
      <c r="E99" s="294"/>
      <c r="F99" s="298">
        <f>MIN(MAX(0,F97-F98),F$102)</f>
        <v>0</v>
      </c>
      <c r="G99" s="296">
        <f>IF(G$2&gt;Inputs!$G$63,0,PPMT(Inputs!$G$64,G$2,Inputs!$G$63,$F$94))</f>
        <v>-102404.87428103063</v>
      </c>
      <c r="H99" s="296">
        <f>IF(H$2&gt;Inputs!$G$63,0,PPMT(Inputs!$G$64,H$2,Inputs!$G$63,$F$94))</f>
        <v>-109573.21548070277</v>
      </c>
      <c r="I99" s="296">
        <f>IF(I$2&gt;Inputs!$G$63,0,PPMT(Inputs!$G$64,I$2,Inputs!$G$63,$F$94))</f>
        <v>-117243.34056435198</v>
      </c>
      <c r="J99" s="296">
        <f>IF(J$2&gt;Inputs!$G$63,0,PPMT(Inputs!$G$64,J$2,Inputs!$G$63,$F$94))</f>
        <v>-125450.37440385661</v>
      </c>
      <c r="K99" s="296">
        <f>IF(K$2&gt;Inputs!$G$63,0,PPMT(Inputs!$G$64,K$2,Inputs!$G$63,$F$94))</f>
        <v>-134231.90061212654</v>
      </c>
      <c r="L99" s="296">
        <f>IF(L$2&gt;Inputs!$G$63,0,PPMT(Inputs!$G$64,L$2,Inputs!$G$63,$F$94))</f>
        <v>-143628.13365497545</v>
      </c>
      <c r="M99" s="296">
        <f>IF(M$2&gt;Inputs!$G$63,0,PPMT(Inputs!$G$64,M$2,Inputs!$G$63,$F$94))</f>
        <v>-153682.10301082372</v>
      </c>
      <c r="N99" s="296">
        <f>IF(N$2&gt;Inputs!$G$63,0,PPMT(Inputs!$G$64,N$2,Inputs!$G$63,$F$94))</f>
        <v>-164439.85022158138</v>
      </c>
      <c r="O99" s="296">
        <f>IF(O$2&gt;Inputs!$G$63,0,PPMT(Inputs!$G$64,O$2,Inputs!$G$63,$F$94))</f>
        <v>-175950.63973709205</v>
      </c>
      <c r="P99" s="296">
        <f>IF(P$2&gt;Inputs!$G$63,0,PPMT(Inputs!$G$64,P$2,Inputs!$G$63,$F$94))</f>
        <v>-188267.1845186885</v>
      </c>
      <c r="Q99" s="296">
        <f>IF(Q$2&gt;Inputs!$G$63,0,PPMT(Inputs!$G$64,Q$2,Inputs!$G$63,$F$94))</f>
        <v>-201445.88743499672</v>
      </c>
      <c r="R99" s="296">
        <f>IF(R$2&gt;Inputs!$G$63,0,PPMT(Inputs!$G$64,R$2,Inputs!$G$63,$F$94))</f>
        <v>-215547.09955544648</v>
      </c>
      <c r="S99" s="296">
        <f>IF(S$2&gt;Inputs!$G$63,0,PPMT(Inputs!$G$64,S$2,Inputs!$G$63,$F$94))</f>
        <v>-230635.39652432772</v>
      </c>
      <c r="T99" s="296">
        <f>IF(T$2&gt;Inputs!$G$63,0,PPMT(Inputs!$G$64,T$2,Inputs!$G$63,$F$94))</f>
        <v>0</v>
      </c>
      <c r="U99" s="296">
        <f>IF(U$2&gt;Inputs!$G$63,0,PPMT(Inputs!$G$64,U$2,Inputs!$G$63,$F$94))</f>
        <v>0</v>
      </c>
      <c r="V99" s="296">
        <f>IF(V$2&gt;Inputs!$G$63,0,PPMT(Inputs!$G$64,V$2,Inputs!$G$63,$F$94))</f>
        <v>0</v>
      </c>
      <c r="W99" s="296">
        <f>IF(W$2&gt;Inputs!$G$63,0,PPMT(Inputs!$G$64,W$2,Inputs!$G$63,$F$94))</f>
        <v>0</v>
      </c>
      <c r="X99" s="296">
        <f>IF(X$2&gt;Inputs!$G$63,0,PPMT(Inputs!$G$64,X$2,Inputs!$G$63,$F$94))</f>
        <v>0</v>
      </c>
      <c r="Y99" s="296">
        <f>IF(Y$2&gt;Inputs!$G$63,0,PPMT(Inputs!$G$64,Y$2,Inputs!$G$63,$F$94))</f>
        <v>0</v>
      </c>
      <c r="Z99" s="296">
        <f>IF(Z$2&gt;Inputs!$G$63,0,PPMT(Inputs!$G$64,Z$2,Inputs!$G$63,$F$94))</f>
        <v>0</v>
      </c>
      <c r="AA99" s="296">
        <f>IF(AA$2&gt;Inputs!$G$63,0,PPMT(Inputs!$G$64,AA$2,Inputs!$G$63,$F$94))</f>
        <v>0</v>
      </c>
      <c r="AB99" s="296">
        <f>IF(AB$2&gt;Inputs!$G$63,0,PPMT(Inputs!$G$64,AB$2,Inputs!$G$63,$F$94))</f>
        <v>0</v>
      </c>
      <c r="AC99" s="296">
        <f>IF(AC$2&gt;Inputs!$G$63,0,PPMT(Inputs!$G$64,AC$2,Inputs!$G$63,$F$94))</f>
        <v>0</v>
      </c>
      <c r="AD99" s="296">
        <f>IF(AD$2&gt;Inputs!$G$63,0,PPMT(Inputs!$G$64,AD$2,Inputs!$G$63,$F$94))</f>
        <v>0</v>
      </c>
      <c r="AE99" s="296">
        <f>IF(AE$2&gt;Inputs!$G$63,0,PPMT(Inputs!$G$64,AE$2,Inputs!$G$63,$F$94))</f>
        <v>0</v>
      </c>
      <c r="AF99" s="296">
        <f>IF(AF$2&gt;Inputs!$G$63,0,PPMT(Inputs!$G$64,AF$2,Inputs!$G$63,$F$94))</f>
        <v>0</v>
      </c>
      <c r="AG99" s="296">
        <f>IF(AG$2&gt;Inputs!$G$63,0,PPMT(Inputs!$G$64,AG$2,Inputs!$G$63,$F$94))</f>
        <v>0</v>
      </c>
      <c r="AH99" s="296">
        <f>IF(AH$2&gt;Inputs!$G$63,0,PPMT(Inputs!$G$64,AH$2,Inputs!$G$63,$F$94))</f>
        <v>0</v>
      </c>
      <c r="AI99" s="296">
        <f>IF(AI$2&gt;Inputs!$G$63,0,PPMT(Inputs!$G$64,AI$2,Inputs!$G$63,$F$94))</f>
        <v>0</v>
      </c>
      <c r="AJ99" s="296">
        <f>IF(AJ$2&gt;Inputs!$G$63,0,PPMT(Inputs!$G$64,AJ$2,Inputs!$G$63,$F$94))</f>
        <v>0</v>
      </c>
    </row>
    <row r="100" spans="2:36" s="29" customFormat="1" ht="16">
      <c r="B100" s="286"/>
      <c r="C100" s="286"/>
      <c r="D100" s="286"/>
      <c r="E100" s="286"/>
      <c r="F100" s="293"/>
      <c r="G100" s="289"/>
      <c r="H100" s="289"/>
      <c r="I100" s="289"/>
      <c r="J100" s="289"/>
      <c r="K100" s="289"/>
      <c r="L100" s="289"/>
      <c r="M100" s="289"/>
      <c r="N100" s="289"/>
      <c r="O100" s="289"/>
      <c r="P100" s="289"/>
      <c r="Q100" s="289"/>
      <c r="R100" s="289"/>
      <c r="S100" s="289"/>
      <c r="T100" s="289"/>
      <c r="U100" s="289"/>
      <c r="V100" s="289"/>
      <c r="W100" s="289"/>
      <c r="X100" s="289"/>
      <c r="Y100" s="289"/>
      <c r="Z100" s="289"/>
      <c r="AA100" s="289"/>
      <c r="AB100" s="289"/>
      <c r="AC100" s="289"/>
      <c r="AD100" s="289"/>
      <c r="AE100" s="289"/>
      <c r="AF100" s="289"/>
      <c r="AG100" s="289"/>
      <c r="AH100" s="289"/>
      <c r="AI100" s="289"/>
      <c r="AJ100" s="289"/>
    </row>
    <row r="101" spans="2:36" s="29" customFormat="1" ht="16">
      <c r="B101" s="286" t="s">
        <v>120</v>
      </c>
      <c r="C101" s="286"/>
      <c r="D101" s="286"/>
      <c r="E101" s="287"/>
      <c r="F101" s="299"/>
      <c r="G101" s="299"/>
      <c r="H101" s="299"/>
      <c r="I101" s="299"/>
      <c r="J101" s="299"/>
      <c r="K101" s="299"/>
      <c r="L101" s="299"/>
      <c r="M101" s="299"/>
      <c r="N101" s="299"/>
      <c r="O101" s="299"/>
      <c r="P101" s="299"/>
      <c r="Q101" s="299"/>
      <c r="R101" s="299"/>
      <c r="S101" s="299"/>
      <c r="T101" s="299"/>
      <c r="U101" s="299"/>
      <c r="V101" s="299"/>
      <c r="W101" s="299"/>
      <c r="X101" s="299"/>
      <c r="Y101" s="299"/>
      <c r="Z101" s="299"/>
      <c r="AA101" s="299"/>
      <c r="AB101" s="299"/>
      <c r="AC101" s="299"/>
      <c r="AD101" s="299"/>
      <c r="AE101" s="299"/>
      <c r="AF101" s="299"/>
      <c r="AG101" s="299"/>
      <c r="AH101" s="299"/>
      <c r="AI101" s="299"/>
      <c r="AJ101" s="299"/>
    </row>
    <row r="102" spans="2:36" s="29" customFormat="1" ht="16">
      <c r="B102" s="294" t="s">
        <v>88</v>
      </c>
      <c r="C102" s="294"/>
      <c r="D102" s="294"/>
      <c r="E102" s="294"/>
      <c r="F102" s="300">
        <v>0</v>
      </c>
      <c r="G102" s="298">
        <f t="shared" ref="G102:AJ102" si="22">F105</f>
        <v>2062500.0000000002</v>
      </c>
      <c r="H102" s="298">
        <f t="shared" si="22"/>
        <v>1960095.1257189696</v>
      </c>
      <c r="I102" s="298">
        <f t="shared" si="22"/>
        <v>1850521.9102382669</v>
      </c>
      <c r="J102" s="298">
        <f t="shared" si="22"/>
        <v>1733278.5696739149</v>
      </c>
      <c r="K102" s="298">
        <f t="shared" si="22"/>
        <v>1607828.1952700582</v>
      </c>
      <c r="L102" s="298">
        <f t="shared" si="22"/>
        <v>1473596.2946579317</v>
      </c>
      <c r="M102" s="298">
        <f t="shared" si="22"/>
        <v>1329968.1610029563</v>
      </c>
      <c r="N102" s="298">
        <f t="shared" si="22"/>
        <v>1176286.0579921326</v>
      </c>
      <c r="O102" s="298">
        <f t="shared" si="22"/>
        <v>1011846.2077705512</v>
      </c>
      <c r="P102" s="298">
        <f t="shared" si="22"/>
        <v>835895.56803345913</v>
      </c>
      <c r="Q102" s="298">
        <f t="shared" si="22"/>
        <v>647628.38351477066</v>
      </c>
      <c r="R102" s="298">
        <f t="shared" si="22"/>
        <v>446182.49607977393</v>
      </c>
      <c r="S102" s="298">
        <f t="shared" si="22"/>
        <v>230635.39652432746</v>
      </c>
      <c r="T102" s="298">
        <f t="shared" si="22"/>
        <v>-2.6193447411060333E-10</v>
      </c>
      <c r="U102" s="298">
        <f t="shared" si="22"/>
        <v>-2.6193447411060333E-10</v>
      </c>
      <c r="V102" s="298">
        <f t="shared" si="22"/>
        <v>-2.6193447411060333E-10</v>
      </c>
      <c r="W102" s="298">
        <f t="shared" si="22"/>
        <v>-2.6193447411060333E-10</v>
      </c>
      <c r="X102" s="298">
        <f t="shared" si="22"/>
        <v>-2.6193447411060333E-10</v>
      </c>
      <c r="Y102" s="298">
        <f t="shared" si="22"/>
        <v>-2.6193447411060333E-10</v>
      </c>
      <c r="Z102" s="298">
        <f t="shared" si="22"/>
        <v>-2.6193447411060333E-10</v>
      </c>
      <c r="AA102" s="298">
        <f t="shared" si="22"/>
        <v>-2.6193447411060333E-10</v>
      </c>
      <c r="AB102" s="298">
        <f t="shared" si="22"/>
        <v>-2.6193447411060333E-10</v>
      </c>
      <c r="AC102" s="298">
        <f t="shared" si="22"/>
        <v>-2.6193447411060333E-10</v>
      </c>
      <c r="AD102" s="298">
        <f t="shared" si="22"/>
        <v>-2.6193447411060333E-10</v>
      </c>
      <c r="AE102" s="298">
        <f t="shared" si="22"/>
        <v>-2.6193447411060333E-10</v>
      </c>
      <c r="AF102" s="298">
        <f t="shared" si="22"/>
        <v>-2.6193447411060333E-10</v>
      </c>
      <c r="AG102" s="298">
        <f t="shared" si="22"/>
        <v>-2.6193447411060333E-10</v>
      </c>
      <c r="AH102" s="298">
        <f t="shared" si="22"/>
        <v>-2.6193447411060333E-10</v>
      </c>
      <c r="AI102" s="298">
        <f t="shared" si="22"/>
        <v>-2.6193447411060333E-10</v>
      </c>
      <c r="AJ102" s="298">
        <f t="shared" si="22"/>
        <v>-2.6193447411060333E-10</v>
      </c>
    </row>
    <row r="103" spans="2:36" s="29" customFormat="1" ht="16">
      <c r="B103" s="294" t="s">
        <v>89</v>
      </c>
      <c r="C103" s="294"/>
      <c r="D103" s="294"/>
      <c r="E103" s="294"/>
      <c r="F103" s="298">
        <f>$F$94</f>
        <v>2062500.0000000002</v>
      </c>
      <c r="G103" s="300">
        <v>0</v>
      </c>
      <c r="H103" s="300">
        <v>0</v>
      </c>
      <c r="I103" s="300">
        <v>0</v>
      </c>
      <c r="J103" s="300">
        <v>0</v>
      </c>
      <c r="K103" s="300">
        <v>0</v>
      </c>
      <c r="L103" s="300">
        <v>0</v>
      </c>
      <c r="M103" s="300">
        <v>0</v>
      </c>
      <c r="N103" s="300">
        <v>0</v>
      </c>
      <c r="O103" s="300">
        <v>0</v>
      </c>
      <c r="P103" s="300">
        <v>0</v>
      </c>
      <c r="Q103" s="300">
        <v>0</v>
      </c>
      <c r="R103" s="300">
        <v>0</v>
      </c>
      <c r="S103" s="300">
        <v>0</v>
      </c>
      <c r="T103" s="300">
        <v>0</v>
      </c>
      <c r="U103" s="300">
        <v>0</v>
      </c>
      <c r="V103" s="300">
        <v>0</v>
      </c>
      <c r="W103" s="300">
        <v>0</v>
      </c>
      <c r="X103" s="300">
        <v>0</v>
      </c>
      <c r="Y103" s="300">
        <v>0</v>
      </c>
      <c r="Z103" s="300">
        <v>0</v>
      </c>
      <c r="AA103" s="300">
        <v>0</v>
      </c>
      <c r="AB103" s="300">
        <v>0</v>
      </c>
      <c r="AC103" s="300">
        <v>0</v>
      </c>
      <c r="AD103" s="300">
        <v>0</v>
      </c>
      <c r="AE103" s="300">
        <v>0</v>
      </c>
      <c r="AF103" s="300">
        <v>0</v>
      </c>
      <c r="AG103" s="300">
        <v>0</v>
      </c>
      <c r="AH103" s="300">
        <v>0</v>
      </c>
      <c r="AI103" s="300">
        <v>0</v>
      </c>
      <c r="AJ103" s="300">
        <v>0</v>
      </c>
    </row>
    <row r="104" spans="2:36" s="29" customFormat="1" ht="16">
      <c r="B104" s="294" t="s">
        <v>119</v>
      </c>
      <c r="C104" s="294"/>
      <c r="D104" s="294"/>
      <c r="E104" s="294"/>
      <c r="F104" s="301">
        <v>0</v>
      </c>
      <c r="G104" s="302">
        <f t="shared" ref="G104:AJ104" si="23">G99</f>
        <v>-102404.87428103063</v>
      </c>
      <c r="H104" s="302">
        <f t="shared" si="23"/>
        <v>-109573.21548070277</v>
      </c>
      <c r="I104" s="302">
        <f t="shared" si="23"/>
        <v>-117243.34056435198</v>
      </c>
      <c r="J104" s="302">
        <f t="shared" si="23"/>
        <v>-125450.37440385661</v>
      </c>
      <c r="K104" s="302">
        <f t="shared" si="23"/>
        <v>-134231.90061212654</v>
      </c>
      <c r="L104" s="302">
        <f t="shared" si="23"/>
        <v>-143628.13365497545</v>
      </c>
      <c r="M104" s="302">
        <f t="shared" si="23"/>
        <v>-153682.10301082372</v>
      </c>
      <c r="N104" s="302">
        <f t="shared" si="23"/>
        <v>-164439.85022158138</v>
      </c>
      <c r="O104" s="302">
        <f t="shared" si="23"/>
        <v>-175950.63973709205</v>
      </c>
      <c r="P104" s="302">
        <f t="shared" si="23"/>
        <v>-188267.1845186885</v>
      </c>
      <c r="Q104" s="302">
        <f t="shared" si="23"/>
        <v>-201445.88743499672</v>
      </c>
      <c r="R104" s="302">
        <f t="shared" si="23"/>
        <v>-215547.09955544648</v>
      </c>
      <c r="S104" s="302">
        <f t="shared" si="23"/>
        <v>-230635.39652432772</v>
      </c>
      <c r="T104" s="302">
        <f t="shared" si="23"/>
        <v>0</v>
      </c>
      <c r="U104" s="302">
        <f t="shared" si="23"/>
        <v>0</v>
      </c>
      <c r="V104" s="302">
        <f t="shared" si="23"/>
        <v>0</v>
      </c>
      <c r="W104" s="302">
        <f t="shared" si="23"/>
        <v>0</v>
      </c>
      <c r="X104" s="302">
        <f t="shared" si="23"/>
        <v>0</v>
      </c>
      <c r="Y104" s="302">
        <f t="shared" si="23"/>
        <v>0</v>
      </c>
      <c r="Z104" s="302">
        <f t="shared" si="23"/>
        <v>0</v>
      </c>
      <c r="AA104" s="302">
        <f t="shared" si="23"/>
        <v>0</v>
      </c>
      <c r="AB104" s="302">
        <f t="shared" si="23"/>
        <v>0</v>
      </c>
      <c r="AC104" s="302">
        <f t="shared" si="23"/>
        <v>0</v>
      </c>
      <c r="AD104" s="302">
        <f t="shared" si="23"/>
        <v>0</v>
      </c>
      <c r="AE104" s="302">
        <f t="shared" si="23"/>
        <v>0</v>
      </c>
      <c r="AF104" s="302">
        <f t="shared" si="23"/>
        <v>0</v>
      </c>
      <c r="AG104" s="302">
        <f t="shared" si="23"/>
        <v>0</v>
      </c>
      <c r="AH104" s="302">
        <f t="shared" si="23"/>
        <v>0</v>
      </c>
      <c r="AI104" s="302">
        <f t="shared" si="23"/>
        <v>0</v>
      </c>
      <c r="AJ104" s="302">
        <f t="shared" si="23"/>
        <v>0</v>
      </c>
    </row>
    <row r="105" spans="2:36" s="29" customFormat="1" ht="16">
      <c r="B105" s="294" t="s">
        <v>90</v>
      </c>
      <c r="C105" s="294"/>
      <c r="D105" s="294"/>
      <c r="E105" s="294"/>
      <c r="F105" s="298">
        <f t="shared" ref="F105:AJ105" si="24">SUM(F102:F104)</f>
        <v>2062500.0000000002</v>
      </c>
      <c r="G105" s="298">
        <f t="shared" si="24"/>
        <v>1960095.1257189696</v>
      </c>
      <c r="H105" s="298">
        <f t="shared" si="24"/>
        <v>1850521.9102382669</v>
      </c>
      <c r="I105" s="298">
        <f t="shared" si="24"/>
        <v>1733278.5696739149</v>
      </c>
      <c r="J105" s="298">
        <f t="shared" si="24"/>
        <v>1607828.1952700582</v>
      </c>
      <c r="K105" s="298">
        <f t="shared" si="24"/>
        <v>1473596.2946579317</v>
      </c>
      <c r="L105" s="298">
        <f t="shared" si="24"/>
        <v>1329968.1610029563</v>
      </c>
      <c r="M105" s="298">
        <f t="shared" si="24"/>
        <v>1176286.0579921326</v>
      </c>
      <c r="N105" s="298">
        <f t="shared" si="24"/>
        <v>1011846.2077705512</v>
      </c>
      <c r="O105" s="298">
        <f t="shared" si="24"/>
        <v>835895.56803345913</v>
      </c>
      <c r="P105" s="298">
        <f t="shared" si="24"/>
        <v>647628.38351477066</v>
      </c>
      <c r="Q105" s="298">
        <f t="shared" si="24"/>
        <v>446182.49607977393</v>
      </c>
      <c r="R105" s="298">
        <f t="shared" si="24"/>
        <v>230635.39652432746</v>
      </c>
      <c r="S105" s="298">
        <f t="shared" si="24"/>
        <v>-2.6193447411060333E-10</v>
      </c>
      <c r="T105" s="298">
        <f t="shared" si="24"/>
        <v>-2.6193447411060333E-10</v>
      </c>
      <c r="U105" s="298">
        <f t="shared" si="24"/>
        <v>-2.6193447411060333E-10</v>
      </c>
      <c r="V105" s="298">
        <f t="shared" si="24"/>
        <v>-2.6193447411060333E-10</v>
      </c>
      <c r="W105" s="298">
        <f t="shared" si="24"/>
        <v>-2.6193447411060333E-10</v>
      </c>
      <c r="X105" s="298">
        <f t="shared" si="24"/>
        <v>-2.6193447411060333E-10</v>
      </c>
      <c r="Y105" s="298">
        <f t="shared" si="24"/>
        <v>-2.6193447411060333E-10</v>
      </c>
      <c r="Z105" s="298">
        <f t="shared" si="24"/>
        <v>-2.6193447411060333E-10</v>
      </c>
      <c r="AA105" s="298">
        <f t="shared" si="24"/>
        <v>-2.6193447411060333E-10</v>
      </c>
      <c r="AB105" s="298">
        <f t="shared" si="24"/>
        <v>-2.6193447411060333E-10</v>
      </c>
      <c r="AC105" s="298">
        <f t="shared" si="24"/>
        <v>-2.6193447411060333E-10</v>
      </c>
      <c r="AD105" s="298">
        <f t="shared" si="24"/>
        <v>-2.6193447411060333E-10</v>
      </c>
      <c r="AE105" s="298">
        <f t="shared" si="24"/>
        <v>-2.6193447411060333E-10</v>
      </c>
      <c r="AF105" s="298">
        <f t="shared" si="24"/>
        <v>-2.6193447411060333E-10</v>
      </c>
      <c r="AG105" s="298">
        <f t="shared" si="24"/>
        <v>-2.6193447411060333E-10</v>
      </c>
      <c r="AH105" s="298">
        <f t="shared" si="24"/>
        <v>-2.6193447411060333E-10</v>
      </c>
      <c r="AI105" s="298">
        <f t="shared" si="24"/>
        <v>-2.6193447411060333E-10</v>
      </c>
      <c r="AJ105" s="298">
        <f t="shared" si="24"/>
        <v>-2.6193447411060333E-10</v>
      </c>
    </row>
    <row r="106" spans="2:36" s="29" customFormat="1" ht="17" thickBot="1">
      <c r="B106" s="281"/>
      <c r="C106" s="281"/>
      <c r="D106" s="281"/>
      <c r="E106" s="281"/>
      <c r="F106" s="281"/>
      <c r="G106" s="281"/>
      <c r="H106" s="281"/>
      <c r="I106" s="281"/>
      <c r="J106" s="281"/>
      <c r="K106" s="281"/>
      <c r="L106" s="281"/>
      <c r="M106" s="281"/>
      <c r="N106" s="281"/>
      <c r="O106" s="281"/>
      <c r="P106" s="281"/>
      <c r="Q106" s="281"/>
      <c r="R106" s="281"/>
      <c r="S106" s="281"/>
      <c r="T106" s="281"/>
      <c r="U106" s="281"/>
      <c r="V106" s="281"/>
      <c r="W106" s="281"/>
      <c r="X106" s="281"/>
      <c r="Y106" s="281"/>
      <c r="Z106" s="281"/>
      <c r="AA106" s="281"/>
      <c r="AB106" s="281"/>
      <c r="AC106" s="281"/>
      <c r="AD106" s="281"/>
      <c r="AE106" s="281"/>
      <c r="AF106" s="281"/>
      <c r="AG106" s="281"/>
      <c r="AH106" s="281"/>
      <c r="AI106" s="281"/>
      <c r="AJ106" s="281"/>
    </row>
    <row r="107" spans="2:36">
      <c r="B107" s="303"/>
      <c r="C107" s="303"/>
      <c r="D107" s="303"/>
      <c r="E107" s="303"/>
      <c r="F107" s="303"/>
      <c r="G107" s="303"/>
      <c r="H107" s="303"/>
      <c r="I107" s="303"/>
      <c r="J107" s="303"/>
      <c r="K107" s="303"/>
      <c r="L107" s="303"/>
      <c r="M107" s="303"/>
      <c r="N107" s="303"/>
      <c r="O107" s="303"/>
      <c r="P107" s="303"/>
      <c r="Q107" s="303"/>
      <c r="R107" s="303"/>
      <c r="S107" s="303"/>
      <c r="T107" s="303"/>
      <c r="U107" s="303"/>
      <c r="V107" s="303"/>
      <c r="W107" s="303"/>
      <c r="X107" s="303"/>
      <c r="Y107" s="303"/>
      <c r="Z107" s="303"/>
      <c r="AA107" s="303"/>
      <c r="AB107" s="303"/>
      <c r="AC107" s="303"/>
      <c r="AD107" s="303"/>
      <c r="AE107" s="303"/>
      <c r="AF107" s="303"/>
      <c r="AG107" s="303"/>
      <c r="AH107" s="303"/>
      <c r="AI107" s="303"/>
      <c r="AJ107" s="303"/>
    </row>
    <row r="108" spans="2:36" s="29" customFormat="1" ht="16">
      <c r="B108" s="258" t="s">
        <v>150</v>
      </c>
      <c r="C108" s="812" t="s">
        <v>334</v>
      </c>
      <c r="D108" s="812"/>
      <c r="E108" s="812"/>
      <c r="F108" s="259"/>
      <c r="G108" s="259"/>
      <c r="H108" s="259"/>
      <c r="I108" s="259"/>
      <c r="J108" s="259"/>
      <c r="K108" s="259"/>
      <c r="L108" s="259"/>
      <c r="M108" s="259"/>
      <c r="N108" s="259"/>
      <c r="O108" s="259"/>
      <c r="P108" s="259"/>
      <c r="Q108" s="259"/>
      <c r="R108" s="259"/>
      <c r="S108" s="259"/>
      <c r="T108" s="259"/>
      <c r="U108" s="259"/>
      <c r="V108" s="259"/>
      <c r="W108" s="259"/>
      <c r="X108" s="259"/>
      <c r="Y108" s="259"/>
      <c r="Z108" s="259"/>
      <c r="AA108" s="259"/>
      <c r="AB108" s="259"/>
      <c r="AC108" s="259"/>
      <c r="AD108" s="259"/>
      <c r="AE108" s="259"/>
      <c r="AF108" s="259"/>
      <c r="AG108" s="259"/>
      <c r="AH108" s="259"/>
      <c r="AI108" s="259"/>
      <c r="AJ108" s="259"/>
    </row>
    <row r="109" spans="2:36" s="29" customFormat="1" ht="16">
      <c r="B109" s="259" t="s">
        <v>125</v>
      </c>
      <c r="C109" s="260" t="s">
        <v>335</v>
      </c>
      <c r="D109" s="260" t="s">
        <v>336</v>
      </c>
      <c r="E109" s="260" t="s">
        <v>337</v>
      </c>
      <c r="F109" s="260">
        <v>0</v>
      </c>
      <c r="G109" s="260">
        <v>1</v>
      </c>
      <c r="H109" s="260">
        <v>2</v>
      </c>
      <c r="I109" s="260">
        <v>3</v>
      </c>
      <c r="J109" s="260">
        <v>4</v>
      </c>
      <c r="K109" s="260">
        <v>5</v>
      </c>
      <c r="L109" s="260">
        <v>6</v>
      </c>
      <c r="M109" s="260">
        <v>7</v>
      </c>
      <c r="N109" s="260">
        <v>8</v>
      </c>
      <c r="O109" s="260">
        <v>9</v>
      </c>
      <c r="P109" s="260">
        <v>10</v>
      </c>
      <c r="Q109" s="260">
        <v>11</v>
      </c>
      <c r="R109" s="260">
        <v>12</v>
      </c>
      <c r="S109" s="260">
        <v>13</v>
      </c>
      <c r="T109" s="260">
        <v>14</v>
      </c>
      <c r="U109" s="260">
        <v>15</v>
      </c>
      <c r="V109" s="260">
        <v>16</v>
      </c>
      <c r="W109" s="260">
        <v>17</v>
      </c>
      <c r="X109" s="260">
        <v>18</v>
      </c>
      <c r="Y109" s="260">
        <v>19</v>
      </c>
      <c r="Z109" s="260">
        <v>20</v>
      </c>
      <c r="AA109" s="260">
        <v>21</v>
      </c>
      <c r="AB109" s="260">
        <v>22</v>
      </c>
      <c r="AC109" s="260">
        <v>23</v>
      </c>
      <c r="AD109" s="260">
        <v>24</v>
      </c>
      <c r="AE109" s="260">
        <v>25</v>
      </c>
      <c r="AF109" s="260">
        <v>26</v>
      </c>
      <c r="AG109" s="260">
        <v>27</v>
      </c>
      <c r="AH109" s="260">
        <v>28</v>
      </c>
      <c r="AI109" s="260">
        <v>29</v>
      </c>
      <c r="AJ109" s="260">
        <v>30</v>
      </c>
    </row>
    <row r="110" spans="2:36" s="29" customFormat="1" ht="16">
      <c r="B110" s="261" t="s">
        <v>126</v>
      </c>
      <c r="C110" s="262" t="s">
        <v>338</v>
      </c>
      <c r="D110" s="262" t="s">
        <v>134</v>
      </c>
      <c r="E110" s="262" t="s">
        <v>338</v>
      </c>
      <c r="F110" s="259"/>
      <c r="G110" s="259"/>
      <c r="H110" s="259"/>
      <c r="I110" s="259"/>
      <c r="J110" s="259"/>
      <c r="K110" s="259"/>
      <c r="L110" s="259"/>
      <c r="M110" s="259"/>
      <c r="N110" s="259"/>
      <c r="O110" s="259"/>
      <c r="P110" s="259"/>
      <c r="Q110" s="259"/>
      <c r="R110" s="259"/>
      <c r="S110" s="259"/>
      <c r="T110" s="259"/>
      <c r="U110" s="259"/>
      <c r="V110" s="259"/>
      <c r="W110" s="259"/>
      <c r="X110" s="259"/>
      <c r="Y110" s="259"/>
      <c r="Z110" s="259"/>
      <c r="AA110" s="259"/>
      <c r="AB110" s="259"/>
      <c r="AC110" s="259"/>
      <c r="AD110" s="259"/>
      <c r="AE110" s="259"/>
      <c r="AF110" s="259"/>
      <c r="AG110" s="259"/>
      <c r="AH110" s="259"/>
      <c r="AI110" s="259"/>
      <c r="AJ110" s="259"/>
    </row>
    <row r="111" spans="2:36" s="29" customFormat="1" ht="16">
      <c r="B111" s="259" t="s">
        <v>76</v>
      </c>
      <c r="C111" s="263">
        <f>IF(Inputs!$G$21="Simple",Inputs!$G$29*Inputs!$P$92,IF(Inputs!$G$21="Intermediate",SUMPRODUCT(Inputs!$G$23:$G$27,Inputs!$P$93:$P$97),'Complex Inputs'!$F$121))</f>
        <v>3525000</v>
      </c>
      <c r="D111" s="514">
        <f t="shared" ref="D111:D118" si="25">C111/$C$122</f>
        <v>0.94</v>
      </c>
      <c r="E111" s="263">
        <f>($C$122-$C$124)*IF(Inputs!$P$88="No",1,(1-Inputs!$P$89))*D111</f>
        <v>3525000</v>
      </c>
      <c r="F111" s="264"/>
      <c r="G111" s="265">
        <v>0.2</v>
      </c>
      <c r="H111" s="265">
        <v>0.32</v>
      </c>
      <c r="I111" s="265">
        <v>0.192</v>
      </c>
      <c r="J111" s="265">
        <v>0.1152</v>
      </c>
      <c r="K111" s="265">
        <v>0.1152</v>
      </c>
      <c r="L111" s="265">
        <v>5.7599999999999998E-2</v>
      </c>
      <c r="M111" s="265">
        <v>0</v>
      </c>
      <c r="N111" s="265">
        <v>0</v>
      </c>
      <c r="O111" s="265">
        <v>0</v>
      </c>
      <c r="P111" s="265">
        <v>0</v>
      </c>
      <c r="Q111" s="265">
        <v>0</v>
      </c>
      <c r="R111" s="265">
        <v>0</v>
      </c>
      <c r="S111" s="265">
        <v>0</v>
      </c>
      <c r="T111" s="265">
        <v>0</v>
      </c>
      <c r="U111" s="265">
        <v>0</v>
      </c>
      <c r="V111" s="265">
        <v>0</v>
      </c>
      <c r="W111" s="265">
        <v>0</v>
      </c>
      <c r="X111" s="265">
        <v>0</v>
      </c>
      <c r="Y111" s="265">
        <v>0</v>
      </c>
      <c r="Z111" s="265">
        <v>0</v>
      </c>
      <c r="AA111" s="265">
        <v>0</v>
      </c>
      <c r="AB111" s="265">
        <v>0</v>
      </c>
      <c r="AC111" s="265">
        <v>0</v>
      </c>
      <c r="AD111" s="265">
        <v>0</v>
      </c>
      <c r="AE111" s="265">
        <v>0</v>
      </c>
      <c r="AF111" s="265">
        <v>0</v>
      </c>
      <c r="AG111" s="265">
        <v>0</v>
      </c>
      <c r="AH111" s="265">
        <v>0</v>
      </c>
      <c r="AI111" s="265">
        <v>0</v>
      </c>
      <c r="AJ111" s="265">
        <v>0</v>
      </c>
    </row>
    <row r="112" spans="2:36" s="29" customFormat="1" ht="16">
      <c r="B112" s="259" t="s">
        <v>127</v>
      </c>
      <c r="C112" s="263">
        <f>IF(Inputs!$G$21="Simple",Inputs!$G$29*Inputs!$Q$92,IF(Inputs!$G$21="Intermediate",SUMPRODUCT(Inputs!$G$23:$G$27,Inputs!$Q$93:$Q$97),'Complex Inputs'!$G$121))</f>
        <v>0</v>
      </c>
      <c r="D112" s="514">
        <f t="shared" si="25"/>
        <v>0</v>
      </c>
      <c r="E112" s="263">
        <f>($C$122-$C$124)*IF(Inputs!$P$88="No",1,(1-Inputs!$P$89))*D112</f>
        <v>0</v>
      </c>
      <c r="F112" s="259"/>
      <c r="G112" s="265">
        <v>0.1429</v>
      </c>
      <c r="H112" s="265">
        <v>0.24490000000000001</v>
      </c>
      <c r="I112" s="265">
        <v>0.1749</v>
      </c>
      <c r="J112" s="265">
        <v>0.1249</v>
      </c>
      <c r="K112" s="265">
        <v>8.9300000000000004E-2</v>
      </c>
      <c r="L112" s="265">
        <v>8.9200000000000002E-2</v>
      </c>
      <c r="M112" s="265">
        <v>8.9300000000000004E-2</v>
      </c>
      <c r="N112" s="265">
        <v>4.4600000000000001E-2</v>
      </c>
      <c r="O112" s="265">
        <v>0</v>
      </c>
      <c r="P112" s="265">
        <v>0</v>
      </c>
      <c r="Q112" s="265">
        <v>0</v>
      </c>
      <c r="R112" s="265">
        <v>0</v>
      </c>
      <c r="S112" s="265">
        <v>0</v>
      </c>
      <c r="T112" s="265">
        <v>0</v>
      </c>
      <c r="U112" s="265">
        <v>0</v>
      </c>
      <c r="V112" s="265">
        <v>0</v>
      </c>
      <c r="W112" s="265">
        <v>0</v>
      </c>
      <c r="X112" s="265">
        <v>0</v>
      </c>
      <c r="Y112" s="265">
        <v>0</v>
      </c>
      <c r="Z112" s="265">
        <v>0</v>
      </c>
      <c r="AA112" s="265">
        <v>0</v>
      </c>
      <c r="AB112" s="265">
        <v>0</v>
      </c>
      <c r="AC112" s="265">
        <v>0</v>
      </c>
      <c r="AD112" s="265">
        <v>0</v>
      </c>
      <c r="AE112" s="265">
        <v>0</v>
      </c>
      <c r="AF112" s="265">
        <v>0</v>
      </c>
      <c r="AG112" s="265">
        <v>0</v>
      </c>
      <c r="AH112" s="265">
        <v>0</v>
      </c>
      <c r="AI112" s="265">
        <v>0</v>
      </c>
      <c r="AJ112" s="265">
        <v>0</v>
      </c>
    </row>
    <row r="113" spans="2:36" s="29" customFormat="1" ht="16">
      <c r="B113" s="259" t="s">
        <v>77</v>
      </c>
      <c r="C113" s="263">
        <f>IF(Inputs!$G$21="Simple",Inputs!$G$29*Inputs!$R$92,IF(Inputs!$G$21="Intermediate",SUMPRODUCT(Inputs!$G$23:$G$27,Inputs!$R$93:$R$97),'Complex Inputs'!$H$121))</f>
        <v>56250</v>
      </c>
      <c r="D113" s="514">
        <f t="shared" si="25"/>
        <v>1.4999999999999999E-2</v>
      </c>
      <c r="E113" s="263">
        <f>($C$122-$C$124)*IF(Inputs!$P$88="No",1,(1-Inputs!$P$89))*D113</f>
        <v>56250</v>
      </c>
      <c r="F113" s="259"/>
      <c r="G113" s="265">
        <v>0.05</v>
      </c>
      <c r="H113" s="265">
        <v>9.5000000000000001E-2</v>
      </c>
      <c r="I113" s="265">
        <v>8.5500000000000007E-2</v>
      </c>
      <c r="J113" s="265">
        <v>7.6999999999999999E-2</v>
      </c>
      <c r="K113" s="265">
        <v>6.93E-2</v>
      </c>
      <c r="L113" s="265">
        <v>6.2300000000000001E-2</v>
      </c>
      <c r="M113" s="265">
        <v>5.8999999999999997E-2</v>
      </c>
      <c r="N113" s="265">
        <v>5.8999999999999997E-2</v>
      </c>
      <c r="O113" s="265">
        <v>5.91E-2</v>
      </c>
      <c r="P113" s="265">
        <v>5.8999999999999997E-2</v>
      </c>
      <c r="Q113" s="265">
        <v>5.91E-2</v>
      </c>
      <c r="R113" s="265">
        <v>5.8999999999999997E-2</v>
      </c>
      <c r="S113" s="265">
        <v>5.91E-2</v>
      </c>
      <c r="T113" s="265">
        <v>5.8999999999999997E-2</v>
      </c>
      <c r="U113" s="265">
        <v>5.91E-2</v>
      </c>
      <c r="V113" s="265">
        <v>2.9499999999999998E-2</v>
      </c>
      <c r="W113" s="265">
        <v>0</v>
      </c>
      <c r="X113" s="265">
        <v>0</v>
      </c>
      <c r="Y113" s="265">
        <v>0</v>
      </c>
      <c r="Z113" s="265">
        <v>0</v>
      </c>
      <c r="AA113" s="265">
        <v>0</v>
      </c>
      <c r="AB113" s="265">
        <v>0</v>
      </c>
      <c r="AC113" s="265">
        <v>0</v>
      </c>
      <c r="AD113" s="265">
        <v>0</v>
      </c>
      <c r="AE113" s="265">
        <v>0</v>
      </c>
      <c r="AF113" s="265">
        <v>0</v>
      </c>
      <c r="AG113" s="265">
        <v>0</v>
      </c>
      <c r="AH113" s="265">
        <v>0</v>
      </c>
      <c r="AI113" s="265">
        <v>0</v>
      </c>
      <c r="AJ113" s="265">
        <v>0</v>
      </c>
    </row>
    <row r="114" spans="2:36" s="29" customFormat="1" ht="16">
      <c r="B114" s="259" t="s">
        <v>78</v>
      </c>
      <c r="C114" s="263">
        <f>IF(Inputs!$G$21="Simple",Inputs!$G$29*Inputs!$U$92,IF(Inputs!$G$21="Intermediate",SUMPRODUCT(Inputs!$G$23:$G$27,Inputs!$U$93:$U$97),'Complex Inputs'!$I$121))</f>
        <v>37500</v>
      </c>
      <c r="D114" s="514">
        <f t="shared" si="25"/>
        <v>0.01</v>
      </c>
      <c r="E114" s="263">
        <f>($C$122-$C$124)*IF(Inputs!$P$88="No",1,(1-Inputs!$P$89))*D114</f>
        <v>37500</v>
      </c>
      <c r="F114" s="259"/>
      <c r="G114" s="265">
        <v>3.7499999999999999E-2</v>
      </c>
      <c r="H114" s="265">
        <v>7.2190000000000004E-2</v>
      </c>
      <c r="I114" s="265">
        <v>6.6769999999999996E-2</v>
      </c>
      <c r="J114" s="265">
        <v>6.1769999999999999E-2</v>
      </c>
      <c r="K114" s="265">
        <v>5.713E-2</v>
      </c>
      <c r="L114" s="265">
        <v>5.2850000000000001E-2</v>
      </c>
      <c r="M114" s="265">
        <v>4.888E-2</v>
      </c>
      <c r="N114" s="265">
        <v>4.5220000000000003E-2</v>
      </c>
      <c r="O114" s="265">
        <v>4.462E-2</v>
      </c>
      <c r="P114" s="265">
        <v>4.4609999999999997E-2</v>
      </c>
      <c r="Q114" s="265">
        <v>4.462E-2</v>
      </c>
      <c r="R114" s="265">
        <v>4.4609999999999997E-2</v>
      </c>
      <c r="S114" s="265">
        <v>4.462E-2</v>
      </c>
      <c r="T114" s="265">
        <v>4.4609999999999997E-2</v>
      </c>
      <c r="U114" s="265">
        <v>4.462E-2</v>
      </c>
      <c r="V114" s="265">
        <v>4.4609999999999997E-2</v>
      </c>
      <c r="W114" s="265">
        <v>4.462E-2</v>
      </c>
      <c r="X114" s="265">
        <v>4.4609999999999997E-2</v>
      </c>
      <c r="Y114" s="265">
        <v>4.462E-2</v>
      </c>
      <c r="Z114" s="265">
        <v>4.4609999999999997E-2</v>
      </c>
      <c r="AA114" s="265">
        <v>2.231E-2</v>
      </c>
      <c r="AB114" s="265">
        <v>0</v>
      </c>
      <c r="AC114" s="265">
        <v>0</v>
      </c>
      <c r="AD114" s="265">
        <v>0</v>
      </c>
      <c r="AE114" s="265">
        <v>0</v>
      </c>
      <c r="AF114" s="265">
        <v>0</v>
      </c>
      <c r="AG114" s="265">
        <v>0</v>
      </c>
      <c r="AH114" s="265">
        <v>0</v>
      </c>
      <c r="AI114" s="265">
        <v>0</v>
      </c>
      <c r="AJ114" s="265">
        <v>0</v>
      </c>
    </row>
    <row r="115" spans="2:36" s="29" customFormat="1" ht="16">
      <c r="B115" s="259" t="s">
        <v>128</v>
      </c>
      <c r="C115" s="263">
        <f>IF(Inputs!$G$21="Simple",Inputs!$G$29*Inputs!$V$92,IF(Inputs!$G$21="Intermediate",SUMPRODUCT(Inputs!$G$23:$G$27,Inputs!$V$93:$V$97),'Complex Inputs'!$J$121))</f>
        <v>0</v>
      </c>
      <c r="D115" s="514">
        <f t="shared" si="25"/>
        <v>0</v>
      </c>
      <c r="E115" s="263">
        <f>($C$122-$C$124)*IF(Inputs!$P$88="No",1,(1-Inputs!$P$89))*D115</f>
        <v>0</v>
      </c>
      <c r="F115" s="259"/>
      <c r="G115" s="265">
        <v>0.1</v>
      </c>
      <c r="H115" s="265">
        <v>0.2</v>
      </c>
      <c r="I115" s="265">
        <v>0.2</v>
      </c>
      <c r="J115" s="265">
        <v>0.2</v>
      </c>
      <c r="K115" s="265">
        <v>0.2</v>
      </c>
      <c r="L115" s="265">
        <v>0.1</v>
      </c>
      <c r="M115" s="265">
        <f t="shared" ref="M115:AJ115" si="26">IF(M$109&lt;=5, 1/5,0)</f>
        <v>0</v>
      </c>
      <c r="N115" s="265">
        <f t="shared" si="26"/>
        <v>0</v>
      </c>
      <c r="O115" s="265">
        <f t="shared" si="26"/>
        <v>0</v>
      </c>
      <c r="P115" s="265">
        <f t="shared" si="26"/>
        <v>0</v>
      </c>
      <c r="Q115" s="265">
        <f t="shared" si="26"/>
        <v>0</v>
      </c>
      <c r="R115" s="265">
        <f t="shared" si="26"/>
        <v>0</v>
      </c>
      <c r="S115" s="265">
        <f t="shared" si="26"/>
        <v>0</v>
      </c>
      <c r="T115" s="265">
        <f t="shared" si="26"/>
        <v>0</v>
      </c>
      <c r="U115" s="265">
        <f t="shared" si="26"/>
        <v>0</v>
      </c>
      <c r="V115" s="265">
        <f t="shared" si="26"/>
        <v>0</v>
      </c>
      <c r="W115" s="265">
        <f t="shared" si="26"/>
        <v>0</v>
      </c>
      <c r="X115" s="265">
        <f t="shared" si="26"/>
        <v>0</v>
      </c>
      <c r="Y115" s="265">
        <f t="shared" si="26"/>
        <v>0</v>
      </c>
      <c r="Z115" s="265">
        <f t="shared" si="26"/>
        <v>0</v>
      </c>
      <c r="AA115" s="265">
        <f t="shared" si="26"/>
        <v>0</v>
      </c>
      <c r="AB115" s="265">
        <f t="shared" si="26"/>
        <v>0</v>
      </c>
      <c r="AC115" s="265">
        <f t="shared" si="26"/>
        <v>0</v>
      </c>
      <c r="AD115" s="265">
        <f t="shared" si="26"/>
        <v>0</v>
      </c>
      <c r="AE115" s="265">
        <f t="shared" si="26"/>
        <v>0</v>
      </c>
      <c r="AF115" s="265">
        <f t="shared" si="26"/>
        <v>0</v>
      </c>
      <c r="AG115" s="265">
        <f t="shared" si="26"/>
        <v>0</v>
      </c>
      <c r="AH115" s="265">
        <f t="shared" si="26"/>
        <v>0</v>
      </c>
      <c r="AI115" s="265">
        <f t="shared" si="26"/>
        <v>0</v>
      </c>
      <c r="AJ115" s="265">
        <f t="shared" si="26"/>
        <v>0</v>
      </c>
    </row>
    <row r="116" spans="2:36" s="29" customFormat="1" ht="16">
      <c r="B116" s="259" t="s">
        <v>129</v>
      </c>
      <c r="C116" s="263">
        <f>IF(Inputs!$G$21="Simple",Inputs!$G$29*Inputs!$W$92,IF(Inputs!$G$21="Intermediate",SUMPRODUCT(Inputs!$G$23:$G$27,Inputs!$W$93:$W$97),'Complex Inputs'!$K$121))</f>
        <v>0</v>
      </c>
      <c r="D116" s="514">
        <f t="shared" si="25"/>
        <v>0</v>
      </c>
      <c r="E116" s="263">
        <f>($C$122-$C$124)*IF(Inputs!$P$88="No",1,(1-Inputs!$P$89))*D116</f>
        <v>0</v>
      </c>
      <c r="F116" s="259"/>
      <c r="G116" s="265">
        <v>3.3300000000000003E-2</v>
      </c>
      <c r="H116" s="265">
        <v>6.6699999999999995E-2</v>
      </c>
      <c r="I116" s="265">
        <v>6.6699999999999995E-2</v>
      </c>
      <c r="J116" s="265">
        <v>6.6699999999999995E-2</v>
      </c>
      <c r="K116" s="265">
        <v>6.6699999999999995E-2</v>
      </c>
      <c r="L116" s="265">
        <v>6.6699999999999995E-2</v>
      </c>
      <c r="M116" s="265">
        <v>6.6699999999999995E-2</v>
      </c>
      <c r="N116" s="265">
        <v>6.6699999999999995E-2</v>
      </c>
      <c r="O116" s="265">
        <v>6.6699999999999995E-2</v>
      </c>
      <c r="P116" s="265">
        <v>6.6699999999999995E-2</v>
      </c>
      <c r="Q116" s="265">
        <v>6.6699999999999995E-2</v>
      </c>
      <c r="R116" s="265">
        <v>6.6600000000000006E-2</v>
      </c>
      <c r="S116" s="265">
        <v>6.6600000000000006E-2</v>
      </c>
      <c r="T116" s="265">
        <v>6.6600000000000006E-2</v>
      </c>
      <c r="U116" s="265">
        <v>6.6600000000000006E-2</v>
      </c>
      <c r="V116" s="265">
        <v>3.3300000000000003E-2</v>
      </c>
      <c r="W116" s="265">
        <f t="shared" ref="W116:AJ116" si="27">IF(W$109&lt;=15, 1/15,0)</f>
        <v>0</v>
      </c>
      <c r="X116" s="265">
        <f t="shared" si="27"/>
        <v>0</v>
      </c>
      <c r="Y116" s="265">
        <f t="shared" si="27"/>
        <v>0</v>
      </c>
      <c r="Z116" s="265">
        <f t="shared" si="27"/>
        <v>0</v>
      </c>
      <c r="AA116" s="265">
        <f t="shared" si="27"/>
        <v>0</v>
      </c>
      <c r="AB116" s="265">
        <f t="shared" si="27"/>
        <v>0</v>
      </c>
      <c r="AC116" s="265">
        <f t="shared" si="27"/>
        <v>0</v>
      </c>
      <c r="AD116" s="265">
        <f t="shared" si="27"/>
        <v>0</v>
      </c>
      <c r="AE116" s="265">
        <f t="shared" si="27"/>
        <v>0</v>
      </c>
      <c r="AF116" s="265">
        <f t="shared" si="27"/>
        <v>0</v>
      </c>
      <c r="AG116" s="265">
        <f t="shared" si="27"/>
        <v>0</v>
      </c>
      <c r="AH116" s="265">
        <f t="shared" si="27"/>
        <v>0</v>
      </c>
      <c r="AI116" s="265">
        <f t="shared" si="27"/>
        <v>0</v>
      </c>
      <c r="AJ116" s="265">
        <f t="shared" si="27"/>
        <v>0</v>
      </c>
    </row>
    <row r="117" spans="2:36" s="29" customFormat="1" ht="16">
      <c r="B117" s="259" t="s">
        <v>79</v>
      </c>
      <c r="C117" s="263">
        <f>IF(Inputs!$G$21="Simple",Inputs!$G$29*Inputs!$X$92,IF(Inputs!$G$21="Intermediate",SUMPRODUCT(Inputs!$G$23:$G$27,Inputs!$X$93:$X$97),'Complex Inputs'!$L$121))</f>
        <v>37500</v>
      </c>
      <c r="D117" s="514">
        <f t="shared" si="25"/>
        <v>0.01</v>
      </c>
      <c r="E117" s="263">
        <f>($C$122-$C$124)*IF(Inputs!$P$88="No",1,(1-Inputs!$P$89))*D117</f>
        <v>37500</v>
      </c>
      <c r="F117" s="259"/>
      <c r="G117" s="265">
        <v>2.5000000000000001E-2</v>
      </c>
      <c r="H117" s="265">
        <v>0.05</v>
      </c>
      <c r="I117" s="265">
        <v>0.05</v>
      </c>
      <c r="J117" s="265">
        <v>0.05</v>
      </c>
      <c r="K117" s="265">
        <v>0.05</v>
      </c>
      <c r="L117" s="265">
        <v>0.05</v>
      </c>
      <c r="M117" s="265">
        <v>0.05</v>
      </c>
      <c r="N117" s="265">
        <v>0.05</v>
      </c>
      <c r="O117" s="265">
        <v>0.05</v>
      </c>
      <c r="P117" s="265">
        <v>0.05</v>
      </c>
      <c r="Q117" s="265">
        <v>0.05</v>
      </c>
      <c r="R117" s="265">
        <v>0.05</v>
      </c>
      <c r="S117" s="265">
        <v>0.05</v>
      </c>
      <c r="T117" s="265">
        <v>0.05</v>
      </c>
      <c r="U117" s="265">
        <v>0.05</v>
      </c>
      <c r="V117" s="265">
        <v>0.05</v>
      </c>
      <c r="W117" s="265">
        <v>0.05</v>
      </c>
      <c r="X117" s="265">
        <v>0.05</v>
      </c>
      <c r="Y117" s="265">
        <v>0.05</v>
      </c>
      <c r="Z117" s="265">
        <v>0.05</v>
      </c>
      <c r="AA117" s="265">
        <v>2.5000000000000001E-2</v>
      </c>
      <c r="AB117" s="265">
        <f t="shared" ref="AB117:AJ117" si="28">IF(AB$109&lt;=20, 1/20,0)</f>
        <v>0</v>
      </c>
      <c r="AC117" s="265">
        <f t="shared" si="28"/>
        <v>0</v>
      </c>
      <c r="AD117" s="265">
        <f t="shared" si="28"/>
        <v>0</v>
      </c>
      <c r="AE117" s="265">
        <f t="shared" si="28"/>
        <v>0</v>
      </c>
      <c r="AF117" s="265">
        <f t="shared" si="28"/>
        <v>0</v>
      </c>
      <c r="AG117" s="265">
        <f t="shared" si="28"/>
        <v>0</v>
      </c>
      <c r="AH117" s="265">
        <f t="shared" si="28"/>
        <v>0</v>
      </c>
      <c r="AI117" s="265">
        <f t="shared" si="28"/>
        <v>0</v>
      </c>
      <c r="AJ117" s="265">
        <f t="shared" si="28"/>
        <v>0</v>
      </c>
    </row>
    <row r="118" spans="2:36" s="29" customFormat="1" ht="16">
      <c r="B118" s="259" t="s">
        <v>80</v>
      </c>
      <c r="C118" s="263">
        <f>IF(Inputs!$G$21="Simple",Inputs!$G$29*Inputs!$Y$92,IF(Inputs!$G$21="Intermediate",SUMPRODUCT(Inputs!$G$23:$G$27,Inputs!$Y$93:$Y$97),'Complex Inputs'!$M$121))</f>
        <v>0</v>
      </c>
      <c r="D118" s="514">
        <f t="shared" si="25"/>
        <v>0</v>
      </c>
      <c r="E118" s="263">
        <f>($C$122-$C$124)*IF(Inputs!$P$88="No",1,(1-Inputs!$P$89))*D118</f>
        <v>0</v>
      </c>
      <c r="F118" s="259"/>
      <c r="G118" s="265">
        <v>1.2800000000000001E-2</v>
      </c>
      <c r="H118" s="265">
        <v>2.5600000000000001E-2</v>
      </c>
      <c r="I118" s="265">
        <v>2.5600000000000001E-2</v>
      </c>
      <c r="J118" s="265">
        <v>2.5600000000000001E-2</v>
      </c>
      <c r="K118" s="265">
        <v>2.5600000000000001E-2</v>
      </c>
      <c r="L118" s="265">
        <v>2.5600000000000001E-2</v>
      </c>
      <c r="M118" s="265">
        <v>2.5600000000000001E-2</v>
      </c>
      <c r="N118" s="265">
        <v>2.5600000000000001E-2</v>
      </c>
      <c r="O118" s="265">
        <v>2.5600000000000001E-2</v>
      </c>
      <c r="P118" s="265">
        <v>2.5600000000000001E-2</v>
      </c>
      <c r="Q118" s="265">
        <v>2.5600000000000001E-2</v>
      </c>
      <c r="R118" s="265">
        <v>2.5600000000000001E-2</v>
      </c>
      <c r="S118" s="265">
        <v>2.5600000000000001E-2</v>
      </c>
      <c r="T118" s="265">
        <v>2.5600000000000001E-2</v>
      </c>
      <c r="U118" s="265">
        <v>2.5600000000000001E-2</v>
      </c>
      <c r="V118" s="265">
        <v>2.5600000000000001E-2</v>
      </c>
      <c r="W118" s="265">
        <v>2.5600000000000001E-2</v>
      </c>
      <c r="X118" s="265">
        <v>2.5600000000000001E-2</v>
      </c>
      <c r="Y118" s="265">
        <v>2.5600000000000001E-2</v>
      </c>
      <c r="Z118" s="265">
        <v>2.5600000000000001E-2</v>
      </c>
      <c r="AA118" s="265">
        <v>2.5600000000000001E-2</v>
      </c>
      <c r="AB118" s="265">
        <v>2.5600000000000001E-2</v>
      </c>
      <c r="AC118" s="265">
        <v>2.5600000000000001E-2</v>
      </c>
      <c r="AD118" s="265">
        <v>2.5600000000000001E-2</v>
      </c>
      <c r="AE118" s="265">
        <v>2.5600000000000001E-2</v>
      </c>
      <c r="AF118" s="265">
        <v>2.5600000000000001E-2</v>
      </c>
      <c r="AG118" s="265">
        <v>2.5600000000000001E-2</v>
      </c>
      <c r="AH118" s="265">
        <v>2.5600000000000001E-2</v>
      </c>
      <c r="AI118" s="265">
        <v>2.5600000000000001E-2</v>
      </c>
      <c r="AJ118" s="265">
        <v>2.5600000000000001E-2</v>
      </c>
    </row>
    <row r="119" spans="2:36" s="29" customFormat="1" ht="16">
      <c r="B119" s="259" t="s">
        <v>331</v>
      </c>
      <c r="C119" s="263"/>
      <c r="D119" s="514"/>
      <c r="E119" s="263">
        <f>($C$122-$C$124)*IF(Inputs!$P$88="No",0,Inputs!$P$89)</f>
        <v>0</v>
      </c>
      <c r="F119" s="259"/>
      <c r="G119" s="265">
        <v>1</v>
      </c>
      <c r="H119" s="265">
        <v>0</v>
      </c>
      <c r="I119" s="265">
        <v>0</v>
      </c>
      <c r="J119" s="265">
        <v>0</v>
      </c>
      <c r="K119" s="265">
        <v>0</v>
      </c>
      <c r="L119" s="265">
        <v>0</v>
      </c>
      <c r="M119" s="265">
        <v>0</v>
      </c>
      <c r="N119" s="265">
        <v>0</v>
      </c>
      <c r="O119" s="265">
        <v>0</v>
      </c>
      <c r="P119" s="265">
        <v>0</v>
      </c>
      <c r="Q119" s="265">
        <v>0</v>
      </c>
      <c r="R119" s="265">
        <v>0</v>
      </c>
      <c r="S119" s="265">
        <v>0</v>
      </c>
      <c r="T119" s="265">
        <v>0</v>
      </c>
      <c r="U119" s="265">
        <v>0</v>
      </c>
      <c r="V119" s="265">
        <v>0</v>
      </c>
      <c r="W119" s="265">
        <v>0</v>
      </c>
      <c r="X119" s="265">
        <v>0</v>
      </c>
      <c r="Y119" s="265">
        <v>0</v>
      </c>
      <c r="Z119" s="265">
        <v>0</v>
      </c>
      <c r="AA119" s="265">
        <v>0</v>
      </c>
      <c r="AB119" s="265">
        <v>0</v>
      </c>
      <c r="AC119" s="265">
        <v>0</v>
      </c>
      <c r="AD119" s="265">
        <v>0</v>
      </c>
      <c r="AE119" s="265">
        <v>0</v>
      </c>
      <c r="AF119" s="265">
        <v>0</v>
      </c>
      <c r="AG119" s="265">
        <v>0</v>
      </c>
      <c r="AH119" s="265">
        <v>0</v>
      </c>
      <c r="AI119" s="265">
        <v>0</v>
      </c>
      <c r="AJ119" s="265">
        <v>0</v>
      </c>
    </row>
    <row r="120" spans="2:36" s="29" customFormat="1" ht="16">
      <c r="B120" s="272" t="s">
        <v>23</v>
      </c>
      <c r="C120" s="516">
        <f>IF(Inputs!$G$21="Simple",Inputs!$G$29*Inputs!$Z$92,IF(Inputs!$G$21="Intermediate",SUMPRODUCT(Inputs!$G$23:$G$27,Inputs!$Z$93:$Z$97),'Complex Inputs'!$N$121))</f>
        <v>93750</v>
      </c>
      <c r="D120" s="517">
        <f>C120/$C$122</f>
        <v>2.5000000000000001E-2</v>
      </c>
      <c r="E120" s="516">
        <f>($C$122-$C$124)*IF(Inputs!$P$88="No",1,(1-Inputs!$P$89))*D120</f>
        <v>93750</v>
      </c>
      <c r="F120" s="259"/>
      <c r="G120" s="266"/>
      <c r="H120" s="266"/>
      <c r="I120" s="266"/>
      <c r="J120" s="266"/>
      <c r="K120" s="266"/>
      <c r="L120" s="266"/>
      <c r="M120" s="266"/>
      <c r="N120" s="266"/>
      <c r="O120" s="266"/>
      <c r="P120" s="266"/>
      <c r="Q120" s="266"/>
      <c r="R120" s="266"/>
      <c r="S120" s="266"/>
      <c r="T120" s="266"/>
      <c r="U120" s="266"/>
      <c r="V120" s="266"/>
      <c r="W120" s="266"/>
      <c r="X120" s="266"/>
      <c r="Y120" s="266"/>
      <c r="Z120" s="266"/>
      <c r="AA120" s="266"/>
      <c r="AB120" s="266"/>
      <c r="AC120" s="266"/>
      <c r="AD120" s="266"/>
      <c r="AE120" s="266"/>
      <c r="AF120" s="266"/>
      <c r="AG120" s="266"/>
      <c r="AH120" s="266"/>
      <c r="AI120" s="266"/>
      <c r="AJ120" s="266"/>
    </row>
    <row r="121" spans="2:36" s="29" customFormat="1" ht="16">
      <c r="B121" s="346"/>
      <c r="C121" s="513" t="s">
        <v>339</v>
      </c>
      <c r="D121" s="513"/>
      <c r="E121" s="513" t="s">
        <v>340</v>
      </c>
      <c r="F121" s="259"/>
      <c r="G121" s="266"/>
      <c r="H121" s="266"/>
      <c r="I121" s="266"/>
      <c r="J121" s="266"/>
      <c r="K121" s="266"/>
      <c r="L121" s="266"/>
      <c r="M121" s="266"/>
      <c r="N121" s="266"/>
      <c r="O121" s="266"/>
      <c r="P121" s="266"/>
      <c r="Q121" s="266"/>
      <c r="R121" s="266"/>
      <c r="S121" s="266"/>
      <c r="T121" s="266"/>
      <c r="U121" s="266"/>
      <c r="V121" s="266"/>
      <c r="W121" s="266"/>
      <c r="X121" s="266"/>
      <c r="Y121" s="266"/>
      <c r="Z121" s="266"/>
      <c r="AA121" s="266"/>
      <c r="AB121" s="266"/>
      <c r="AC121" s="266"/>
      <c r="AD121" s="266"/>
      <c r="AE121" s="266"/>
      <c r="AF121" s="266"/>
      <c r="AG121" s="266"/>
      <c r="AH121" s="266"/>
      <c r="AI121" s="266"/>
      <c r="AJ121" s="266"/>
    </row>
    <row r="122" spans="2:36" s="29" customFormat="1" ht="16">
      <c r="B122" s="258" t="s">
        <v>341</v>
      </c>
      <c r="C122" s="268">
        <f>SUM(C111:C120)</f>
        <v>3750000</v>
      </c>
      <c r="D122" s="514">
        <f>SUM(D111:D120)</f>
        <v>1</v>
      </c>
      <c r="E122" s="268">
        <f>SUM(E111:E120)</f>
        <v>3750000</v>
      </c>
      <c r="F122" s="259"/>
      <c r="G122" s="266"/>
      <c r="H122" s="266"/>
      <c r="I122" s="266"/>
      <c r="J122" s="266"/>
      <c r="K122" s="266"/>
      <c r="L122" s="266"/>
      <c r="M122" s="266"/>
      <c r="N122" s="266"/>
      <c r="O122" s="266"/>
      <c r="P122" s="266"/>
      <c r="Q122" s="266"/>
      <c r="R122" s="266"/>
      <c r="S122" s="266"/>
      <c r="T122" s="266"/>
      <c r="U122" s="266"/>
      <c r="V122" s="266"/>
      <c r="W122" s="266"/>
      <c r="X122" s="266"/>
      <c r="Y122" s="266"/>
      <c r="Z122" s="266"/>
      <c r="AA122" s="266"/>
      <c r="AB122" s="266"/>
      <c r="AC122" s="266"/>
      <c r="AD122" s="266"/>
      <c r="AE122" s="266"/>
      <c r="AF122" s="266"/>
      <c r="AG122" s="266"/>
      <c r="AH122" s="266"/>
      <c r="AI122" s="266"/>
      <c r="AJ122" s="266"/>
    </row>
    <row r="123" spans="2:36" s="29" customFormat="1" ht="16">
      <c r="B123" s="346"/>
      <c r="C123" s="515" t="str">
        <f>IF(C122=Inputs!$G$29,"OK","error")</f>
        <v>OK</v>
      </c>
      <c r="D123" s="515" t="str">
        <f>IF(D122=100%,"OK","error")</f>
        <v>OK</v>
      </c>
      <c r="E123" s="515" t="str">
        <f>IF(E122=(C122-C124),"OK","error")</f>
        <v>OK</v>
      </c>
      <c r="F123" s="259"/>
      <c r="G123" s="266"/>
      <c r="H123" s="266"/>
      <c r="I123" s="266"/>
      <c r="J123" s="266"/>
      <c r="K123" s="266"/>
      <c r="L123" s="266"/>
      <c r="M123" s="266"/>
      <c r="N123" s="266"/>
      <c r="O123" s="266"/>
      <c r="P123" s="266"/>
      <c r="Q123" s="266"/>
      <c r="R123" s="266"/>
      <c r="S123" s="266"/>
      <c r="T123" s="266"/>
      <c r="U123" s="266"/>
      <c r="V123" s="266"/>
      <c r="W123" s="266"/>
      <c r="X123" s="266"/>
      <c r="Y123" s="266"/>
      <c r="Z123" s="266"/>
      <c r="AA123" s="266"/>
      <c r="AB123" s="266"/>
      <c r="AC123" s="266"/>
      <c r="AD123" s="266"/>
      <c r="AE123" s="266"/>
      <c r="AF123" s="266"/>
      <c r="AG123" s="266"/>
      <c r="AH123" s="266"/>
      <c r="AI123" s="266"/>
      <c r="AJ123" s="266"/>
    </row>
    <row r="124" spans="2:36" s="29" customFormat="1" ht="16">
      <c r="B124" s="259" t="s">
        <v>330</v>
      </c>
      <c r="C124" s="263">
        <f>IF(OR(Inputs!$Q$33="Performance-Based",Inputs!$Q$33="Neither"),0,50%*Inputs!$Q$37)+IF(Inputs!$Q$44="Yes",0,Inputs!$Q$43)+IF(Inputs!$Q$61="Yes",0,IF(Inputs!$Q$60=0,Inputs!$Q$59*Inputs!$G$7,MIN(Inputs!$Q$60,Inputs!$Q$59*Inputs!$G$7)))</f>
        <v>0</v>
      </c>
      <c r="D124" s="259"/>
      <c r="E124" s="263"/>
      <c r="F124" s="259"/>
      <c r="G124" s="266"/>
      <c r="H124" s="266"/>
      <c r="I124" s="266"/>
      <c r="J124" s="266"/>
      <c r="K124" s="266"/>
      <c r="L124" s="266"/>
      <c r="M124" s="266"/>
      <c r="N124" s="266"/>
      <c r="O124" s="266"/>
      <c r="P124" s="266"/>
      <c r="Q124" s="266"/>
      <c r="R124" s="266"/>
      <c r="S124" s="266"/>
      <c r="T124" s="266"/>
      <c r="U124" s="266"/>
      <c r="V124" s="266"/>
      <c r="W124" s="266"/>
      <c r="X124" s="266"/>
      <c r="Y124" s="266"/>
      <c r="Z124" s="266"/>
      <c r="AA124" s="266"/>
      <c r="AB124" s="266"/>
      <c r="AC124" s="266"/>
      <c r="AD124" s="266"/>
      <c r="AE124" s="266"/>
      <c r="AF124" s="266"/>
      <c r="AG124" s="266"/>
      <c r="AH124" s="266"/>
      <c r="AI124" s="266"/>
      <c r="AJ124" s="266"/>
    </row>
    <row r="125" spans="2:36" s="29" customFormat="1" ht="16">
      <c r="B125" s="259"/>
      <c r="C125" s="259"/>
      <c r="D125" s="259"/>
      <c r="E125" s="263"/>
      <c r="F125" s="259"/>
      <c r="G125" s="266"/>
      <c r="H125" s="266"/>
      <c r="I125" s="266"/>
      <c r="J125" s="266"/>
      <c r="K125" s="266"/>
      <c r="L125" s="266"/>
      <c r="M125" s="266"/>
      <c r="N125" s="266"/>
      <c r="O125" s="266"/>
      <c r="P125" s="266"/>
      <c r="Q125" s="266"/>
      <c r="R125" s="266"/>
      <c r="S125" s="266"/>
      <c r="T125" s="266"/>
      <c r="U125" s="266"/>
      <c r="V125" s="266"/>
      <c r="W125" s="266"/>
      <c r="X125" s="266"/>
      <c r="Y125" s="266"/>
      <c r="Z125" s="266"/>
      <c r="AA125" s="266"/>
      <c r="AB125" s="266"/>
      <c r="AC125" s="266"/>
      <c r="AD125" s="266"/>
      <c r="AE125" s="266"/>
      <c r="AF125" s="266"/>
      <c r="AG125" s="266"/>
      <c r="AH125" s="266"/>
      <c r="AI125" s="266"/>
      <c r="AJ125" s="266"/>
    </row>
    <row r="126" spans="2:36" s="29" customFormat="1" ht="16">
      <c r="B126" s="261" t="s">
        <v>151</v>
      </c>
      <c r="C126" s="261"/>
      <c r="D126" s="261"/>
      <c r="E126" s="259"/>
      <c r="F126" s="259"/>
      <c r="G126" s="266"/>
      <c r="H126" s="266"/>
      <c r="I126" s="266"/>
      <c r="J126" s="266"/>
      <c r="K126" s="266"/>
      <c r="L126" s="266"/>
      <c r="M126" s="266"/>
      <c r="N126" s="266"/>
      <c r="O126" s="266"/>
      <c r="P126" s="266"/>
      <c r="Q126" s="266"/>
      <c r="R126" s="266"/>
      <c r="S126" s="266"/>
      <c r="T126" s="266"/>
      <c r="U126" s="266"/>
      <c r="V126" s="266"/>
      <c r="W126" s="266"/>
      <c r="X126" s="266"/>
      <c r="Y126" s="266"/>
      <c r="Z126" s="266"/>
      <c r="AA126" s="266"/>
      <c r="AB126" s="266"/>
      <c r="AC126" s="266"/>
      <c r="AD126" s="266"/>
      <c r="AE126" s="266"/>
      <c r="AF126" s="266"/>
      <c r="AG126" s="266"/>
      <c r="AH126" s="266"/>
      <c r="AI126" s="266"/>
      <c r="AJ126" s="266"/>
    </row>
    <row r="127" spans="2:36" s="29" customFormat="1" ht="16">
      <c r="B127" s="259" t="s">
        <v>81</v>
      </c>
      <c r="C127" s="259"/>
      <c r="D127" s="259"/>
      <c r="E127" s="267" t="s">
        <v>136</v>
      </c>
      <c r="F127" s="268"/>
      <c r="G127" s="259"/>
      <c r="H127" s="259"/>
      <c r="I127" s="259"/>
      <c r="J127" s="259"/>
      <c r="K127" s="259"/>
      <c r="L127" s="259"/>
      <c r="M127" s="259"/>
      <c r="N127" s="259"/>
      <c r="O127" s="259"/>
      <c r="P127" s="259"/>
      <c r="Q127" s="259"/>
      <c r="R127" s="259"/>
      <c r="S127" s="259"/>
      <c r="T127" s="259"/>
      <c r="U127" s="259"/>
      <c r="V127" s="259"/>
      <c r="W127" s="259"/>
      <c r="X127" s="259"/>
      <c r="Y127" s="259"/>
      <c r="Z127" s="259"/>
      <c r="AA127" s="259"/>
      <c r="AB127" s="259"/>
      <c r="AC127" s="259"/>
      <c r="AD127" s="259"/>
      <c r="AE127" s="259"/>
      <c r="AF127" s="259"/>
      <c r="AG127" s="259"/>
      <c r="AH127" s="259"/>
      <c r="AI127" s="259"/>
      <c r="AJ127" s="259"/>
    </row>
    <row r="128" spans="2:36" s="29" customFormat="1" ht="16">
      <c r="B128" s="259" t="s">
        <v>76</v>
      </c>
      <c r="C128" s="259"/>
      <c r="D128" s="259"/>
      <c r="E128" s="269">
        <f>SUM(G128:AJ128)</f>
        <v>3525000</v>
      </c>
      <c r="F128" s="268"/>
      <c r="G128" s="270">
        <f>$E111*G111</f>
        <v>705000</v>
      </c>
      <c r="H128" s="270">
        <f t="shared" ref="H128:AJ128" si="29">$E111*H111</f>
        <v>1128000</v>
      </c>
      <c r="I128" s="270">
        <f t="shared" si="29"/>
        <v>676800</v>
      </c>
      <c r="J128" s="270">
        <f t="shared" si="29"/>
        <v>406080</v>
      </c>
      <c r="K128" s="270">
        <f t="shared" si="29"/>
        <v>406080</v>
      </c>
      <c r="L128" s="270">
        <f t="shared" si="29"/>
        <v>203040</v>
      </c>
      <c r="M128" s="270">
        <f t="shared" si="29"/>
        <v>0</v>
      </c>
      <c r="N128" s="270">
        <f t="shared" si="29"/>
        <v>0</v>
      </c>
      <c r="O128" s="270">
        <f t="shared" si="29"/>
        <v>0</v>
      </c>
      <c r="P128" s="270">
        <f t="shared" si="29"/>
        <v>0</v>
      </c>
      <c r="Q128" s="270">
        <f t="shared" si="29"/>
        <v>0</v>
      </c>
      <c r="R128" s="270">
        <f t="shared" si="29"/>
        <v>0</v>
      </c>
      <c r="S128" s="270">
        <f t="shared" si="29"/>
        <v>0</v>
      </c>
      <c r="T128" s="270">
        <f t="shared" si="29"/>
        <v>0</v>
      </c>
      <c r="U128" s="270">
        <f t="shared" si="29"/>
        <v>0</v>
      </c>
      <c r="V128" s="270">
        <f t="shared" si="29"/>
        <v>0</v>
      </c>
      <c r="W128" s="270">
        <f t="shared" si="29"/>
        <v>0</v>
      </c>
      <c r="X128" s="270">
        <f t="shared" si="29"/>
        <v>0</v>
      </c>
      <c r="Y128" s="270">
        <f t="shared" si="29"/>
        <v>0</v>
      </c>
      <c r="Z128" s="270">
        <f t="shared" si="29"/>
        <v>0</v>
      </c>
      <c r="AA128" s="270">
        <f t="shared" si="29"/>
        <v>0</v>
      </c>
      <c r="AB128" s="270">
        <f t="shared" si="29"/>
        <v>0</v>
      </c>
      <c r="AC128" s="270">
        <f t="shared" si="29"/>
        <v>0</v>
      </c>
      <c r="AD128" s="270">
        <f t="shared" si="29"/>
        <v>0</v>
      </c>
      <c r="AE128" s="270">
        <f t="shared" si="29"/>
        <v>0</v>
      </c>
      <c r="AF128" s="270">
        <f t="shared" si="29"/>
        <v>0</v>
      </c>
      <c r="AG128" s="270">
        <f t="shared" si="29"/>
        <v>0</v>
      </c>
      <c r="AH128" s="270">
        <f t="shared" si="29"/>
        <v>0</v>
      </c>
      <c r="AI128" s="270">
        <f t="shared" si="29"/>
        <v>0</v>
      </c>
      <c r="AJ128" s="270">
        <f t="shared" si="29"/>
        <v>0</v>
      </c>
    </row>
    <row r="129" spans="2:36" s="29" customFormat="1" ht="16">
      <c r="B129" s="259" t="s">
        <v>127</v>
      </c>
      <c r="C129" s="259"/>
      <c r="D129" s="259"/>
      <c r="E129" s="269">
        <f t="shared" ref="E129:E136" si="30">SUM(G129:AJ129)</f>
        <v>0</v>
      </c>
      <c r="F129" s="268"/>
      <c r="G129" s="270">
        <f t="shared" ref="G129:AJ129" si="31">$E112*G112</f>
        <v>0</v>
      </c>
      <c r="H129" s="270">
        <f t="shared" si="31"/>
        <v>0</v>
      </c>
      <c r="I129" s="270">
        <f t="shared" si="31"/>
        <v>0</v>
      </c>
      <c r="J129" s="270">
        <f t="shared" si="31"/>
        <v>0</v>
      </c>
      <c r="K129" s="270">
        <f t="shared" si="31"/>
        <v>0</v>
      </c>
      <c r="L129" s="270">
        <f t="shared" si="31"/>
        <v>0</v>
      </c>
      <c r="M129" s="270">
        <f t="shared" si="31"/>
        <v>0</v>
      </c>
      <c r="N129" s="270">
        <f t="shared" si="31"/>
        <v>0</v>
      </c>
      <c r="O129" s="270">
        <f t="shared" si="31"/>
        <v>0</v>
      </c>
      <c r="P129" s="270">
        <f t="shared" si="31"/>
        <v>0</v>
      </c>
      <c r="Q129" s="270">
        <f t="shared" si="31"/>
        <v>0</v>
      </c>
      <c r="R129" s="270">
        <f t="shared" si="31"/>
        <v>0</v>
      </c>
      <c r="S129" s="270">
        <f t="shared" si="31"/>
        <v>0</v>
      </c>
      <c r="T129" s="270">
        <f t="shared" si="31"/>
        <v>0</v>
      </c>
      <c r="U129" s="270">
        <f t="shared" si="31"/>
        <v>0</v>
      </c>
      <c r="V129" s="270">
        <f t="shared" si="31"/>
        <v>0</v>
      </c>
      <c r="W129" s="270">
        <f t="shared" si="31"/>
        <v>0</v>
      </c>
      <c r="X129" s="270">
        <f t="shared" si="31"/>
        <v>0</v>
      </c>
      <c r="Y129" s="270">
        <f t="shared" si="31"/>
        <v>0</v>
      </c>
      <c r="Z129" s="270">
        <f t="shared" si="31"/>
        <v>0</v>
      </c>
      <c r="AA129" s="270">
        <f t="shared" si="31"/>
        <v>0</v>
      </c>
      <c r="AB129" s="270">
        <f t="shared" si="31"/>
        <v>0</v>
      </c>
      <c r="AC129" s="270">
        <f t="shared" si="31"/>
        <v>0</v>
      </c>
      <c r="AD129" s="270">
        <f t="shared" si="31"/>
        <v>0</v>
      </c>
      <c r="AE129" s="270">
        <f t="shared" si="31"/>
        <v>0</v>
      </c>
      <c r="AF129" s="270">
        <f t="shared" si="31"/>
        <v>0</v>
      </c>
      <c r="AG129" s="270">
        <f t="shared" si="31"/>
        <v>0</v>
      </c>
      <c r="AH129" s="270">
        <f t="shared" si="31"/>
        <v>0</v>
      </c>
      <c r="AI129" s="270">
        <f t="shared" si="31"/>
        <v>0</v>
      </c>
      <c r="AJ129" s="270">
        <f t="shared" si="31"/>
        <v>0</v>
      </c>
    </row>
    <row r="130" spans="2:36" s="29" customFormat="1" ht="16">
      <c r="B130" s="259" t="s">
        <v>77</v>
      </c>
      <c r="C130" s="259"/>
      <c r="D130" s="259"/>
      <c r="E130" s="269">
        <f t="shared" si="30"/>
        <v>56250</v>
      </c>
      <c r="F130" s="268"/>
      <c r="G130" s="270">
        <f t="shared" ref="G130:AJ130" si="32">$E113*G113</f>
        <v>2812.5</v>
      </c>
      <c r="H130" s="270">
        <f t="shared" si="32"/>
        <v>5343.75</v>
      </c>
      <c r="I130" s="270">
        <f t="shared" si="32"/>
        <v>4809.375</v>
      </c>
      <c r="J130" s="270">
        <f t="shared" si="32"/>
        <v>4331.25</v>
      </c>
      <c r="K130" s="270">
        <f t="shared" si="32"/>
        <v>3898.125</v>
      </c>
      <c r="L130" s="270">
        <f t="shared" si="32"/>
        <v>3504.375</v>
      </c>
      <c r="M130" s="270">
        <f t="shared" si="32"/>
        <v>3318.75</v>
      </c>
      <c r="N130" s="270">
        <f t="shared" si="32"/>
        <v>3318.75</v>
      </c>
      <c r="O130" s="270">
        <f t="shared" si="32"/>
        <v>3324.375</v>
      </c>
      <c r="P130" s="270">
        <f t="shared" si="32"/>
        <v>3318.75</v>
      </c>
      <c r="Q130" s="270">
        <f t="shared" si="32"/>
        <v>3324.375</v>
      </c>
      <c r="R130" s="270">
        <f t="shared" si="32"/>
        <v>3318.75</v>
      </c>
      <c r="S130" s="270">
        <f t="shared" si="32"/>
        <v>3324.375</v>
      </c>
      <c r="T130" s="270">
        <f t="shared" si="32"/>
        <v>3318.75</v>
      </c>
      <c r="U130" s="270">
        <f t="shared" si="32"/>
        <v>3324.375</v>
      </c>
      <c r="V130" s="270">
        <f t="shared" si="32"/>
        <v>1659.375</v>
      </c>
      <c r="W130" s="270">
        <f t="shared" si="32"/>
        <v>0</v>
      </c>
      <c r="X130" s="270">
        <f t="shared" si="32"/>
        <v>0</v>
      </c>
      <c r="Y130" s="270">
        <f t="shared" si="32"/>
        <v>0</v>
      </c>
      <c r="Z130" s="270">
        <f t="shared" si="32"/>
        <v>0</v>
      </c>
      <c r="AA130" s="270">
        <f t="shared" si="32"/>
        <v>0</v>
      </c>
      <c r="AB130" s="270">
        <f t="shared" si="32"/>
        <v>0</v>
      </c>
      <c r="AC130" s="270">
        <f t="shared" si="32"/>
        <v>0</v>
      </c>
      <c r="AD130" s="270">
        <f t="shared" si="32"/>
        <v>0</v>
      </c>
      <c r="AE130" s="270">
        <f t="shared" si="32"/>
        <v>0</v>
      </c>
      <c r="AF130" s="270">
        <f t="shared" si="32"/>
        <v>0</v>
      </c>
      <c r="AG130" s="270">
        <f t="shared" si="32"/>
        <v>0</v>
      </c>
      <c r="AH130" s="270">
        <f t="shared" si="32"/>
        <v>0</v>
      </c>
      <c r="AI130" s="270">
        <f t="shared" si="32"/>
        <v>0</v>
      </c>
      <c r="AJ130" s="270">
        <f t="shared" si="32"/>
        <v>0</v>
      </c>
    </row>
    <row r="131" spans="2:36" s="29" customFormat="1" ht="16">
      <c r="B131" s="259" t="s">
        <v>78</v>
      </c>
      <c r="C131" s="259"/>
      <c r="D131" s="259"/>
      <c r="E131" s="269">
        <f t="shared" si="30"/>
        <v>37500</v>
      </c>
      <c r="F131" s="268"/>
      <c r="G131" s="270">
        <f t="shared" ref="G131:AJ131" si="33">$E114*G114</f>
        <v>1406.25</v>
      </c>
      <c r="H131" s="270">
        <f t="shared" si="33"/>
        <v>2707.125</v>
      </c>
      <c r="I131" s="270">
        <f t="shared" si="33"/>
        <v>2503.875</v>
      </c>
      <c r="J131" s="270">
        <f t="shared" si="33"/>
        <v>2316.375</v>
      </c>
      <c r="K131" s="270">
        <f t="shared" si="33"/>
        <v>2142.375</v>
      </c>
      <c r="L131" s="270">
        <f t="shared" si="33"/>
        <v>1981.875</v>
      </c>
      <c r="M131" s="270">
        <f t="shared" si="33"/>
        <v>1833</v>
      </c>
      <c r="N131" s="270">
        <f t="shared" si="33"/>
        <v>1695.7500000000002</v>
      </c>
      <c r="O131" s="270">
        <f t="shared" si="33"/>
        <v>1673.25</v>
      </c>
      <c r="P131" s="270">
        <f t="shared" si="33"/>
        <v>1672.8749999999998</v>
      </c>
      <c r="Q131" s="270">
        <f t="shared" si="33"/>
        <v>1673.25</v>
      </c>
      <c r="R131" s="270">
        <f t="shared" si="33"/>
        <v>1672.8749999999998</v>
      </c>
      <c r="S131" s="270">
        <f t="shared" si="33"/>
        <v>1673.25</v>
      </c>
      <c r="T131" s="270">
        <f t="shared" si="33"/>
        <v>1672.8749999999998</v>
      </c>
      <c r="U131" s="270">
        <f t="shared" si="33"/>
        <v>1673.25</v>
      </c>
      <c r="V131" s="270">
        <f t="shared" si="33"/>
        <v>1672.8749999999998</v>
      </c>
      <c r="W131" s="270">
        <f t="shared" si="33"/>
        <v>1673.25</v>
      </c>
      <c r="X131" s="270">
        <f t="shared" si="33"/>
        <v>1672.8749999999998</v>
      </c>
      <c r="Y131" s="270">
        <f t="shared" si="33"/>
        <v>1673.25</v>
      </c>
      <c r="Z131" s="270">
        <f t="shared" si="33"/>
        <v>1672.8749999999998</v>
      </c>
      <c r="AA131" s="270">
        <f t="shared" si="33"/>
        <v>836.625</v>
      </c>
      <c r="AB131" s="270">
        <f t="shared" si="33"/>
        <v>0</v>
      </c>
      <c r="AC131" s="270">
        <f t="shared" si="33"/>
        <v>0</v>
      </c>
      <c r="AD131" s="270">
        <f t="shared" si="33"/>
        <v>0</v>
      </c>
      <c r="AE131" s="270">
        <f t="shared" si="33"/>
        <v>0</v>
      </c>
      <c r="AF131" s="270">
        <f t="shared" si="33"/>
        <v>0</v>
      </c>
      <c r="AG131" s="270">
        <f t="shared" si="33"/>
        <v>0</v>
      </c>
      <c r="AH131" s="270">
        <f t="shared" si="33"/>
        <v>0</v>
      </c>
      <c r="AI131" s="270">
        <f t="shared" si="33"/>
        <v>0</v>
      </c>
      <c r="AJ131" s="270">
        <f t="shared" si="33"/>
        <v>0</v>
      </c>
    </row>
    <row r="132" spans="2:36" s="29" customFormat="1" ht="16">
      <c r="B132" s="259" t="s">
        <v>128</v>
      </c>
      <c r="C132" s="259"/>
      <c r="D132" s="259"/>
      <c r="E132" s="269">
        <f t="shared" si="30"/>
        <v>0</v>
      </c>
      <c r="F132" s="268"/>
      <c r="G132" s="270">
        <f t="shared" ref="G132:AJ132" si="34">$E115*G115</f>
        <v>0</v>
      </c>
      <c r="H132" s="270">
        <f t="shared" si="34"/>
        <v>0</v>
      </c>
      <c r="I132" s="270">
        <f t="shared" si="34"/>
        <v>0</v>
      </c>
      <c r="J132" s="270">
        <f t="shared" si="34"/>
        <v>0</v>
      </c>
      <c r="K132" s="270">
        <f t="shared" si="34"/>
        <v>0</v>
      </c>
      <c r="L132" s="270">
        <f t="shared" si="34"/>
        <v>0</v>
      </c>
      <c r="M132" s="270">
        <f t="shared" si="34"/>
        <v>0</v>
      </c>
      <c r="N132" s="270">
        <f t="shared" si="34"/>
        <v>0</v>
      </c>
      <c r="O132" s="270">
        <f t="shared" si="34"/>
        <v>0</v>
      </c>
      <c r="P132" s="270">
        <f t="shared" si="34"/>
        <v>0</v>
      </c>
      <c r="Q132" s="270">
        <f t="shared" si="34"/>
        <v>0</v>
      </c>
      <c r="R132" s="270">
        <f t="shared" si="34"/>
        <v>0</v>
      </c>
      <c r="S132" s="270">
        <f t="shared" si="34"/>
        <v>0</v>
      </c>
      <c r="T132" s="270">
        <f t="shared" si="34"/>
        <v>0</v>
      </c>
      <c r="U132" s="270">
        <f t="shared" si="34"/>
        <v>0</v>
      </c>
      <c r="V132" s="270">
        <f t="shared" si="34"/>
        <v>0</v>
      </c>
      <c r="W132" s="270">
        <f t="shared" si="34"/>
        <v>0</v>
      </c>
      <c r="X132" s="270">
        <f t="shared" si="34"/>
        <v>0</v>
      </c>
      <c r="Y132" s="270">
        <f t="shared" si="34"/>
        <v>0</v>
      </c>
      <c r="Z132" s="270">
        <f t="shared" si="34"/>
        <v>0</v>
      </c>
      <c r="AA132" s="270">
        <f t="shared" si="34"/>
        <v>0</v>
      </c>
      <c r="AB132" s="270">
        <f t="shared" si="34"/>
        <v>0</v>
      </c>
      <c r="AC132" s="270">
        <f t="shared" si="34"/>
        <v>0</v>
      </c>
      <c r="AD132" s="270">
        <f t="shared" si="34"/>
        <v>0</v>
      </c>
      <c r="AE132" s="270">
        <f t="shared" si="34"/>
        <v>0</v>
      </c>
      <c r="AF132" s="270">
        <f t="shared" si="34"/>
        <v>0</v>
      </c>
      <c r="AG132" s="270">
        <f t="shared" si="34"/>
        <v>0</v>
      </c>
      <c r="AH132" s="270">
        <f t="shared" si="34"/>
        <v>0</v>
      </c>
      <c r="AI132" s="270">
        <f t="shared" si="34"/>
        <v>0</v>
      </c>
      <c r="AJ132" s="270">
        <f t="shared" si="34"/>
        <v>0</v>
      </c>
    </row>
    <row r="133" spans="2:36" s="29" customFormat="1" ht="16">
      <c r="B133" s="259" t="s">
        <v>129</v>
      </c>
      <c r="C133" s="259"/>
      <c r="D133" s="259"/>
      <c r="E133" s="269">
        <f t="shared" si="30"/>
        <v>0</v>
      </c>
      <c r="F133" s="268"/>
      <c r="G133" s="270">
        <f t="shared" ref="G133:AJ133" si="35">$E116*G116</f>
        <v>0</v>
      </c>
      <c r="H133" s="270">
        <f t="shared" si="35"/>
        <v>0</v>
      </c>
      <c r="I133" s="270">
        <f t="shared" si="35"/>
        <v>0</v>
      </c>
      <c r="J133" s="270">
        <f t="shared" si="35"/>
        <v>0</v>
      </c>
      <c r="K133" s="270">
        <f t="shared" si="35"/>
        <v>0</v>
      </c>
      <c r="L133" s="270">
        <f t="shared" si="35"/>
        <v>0</v>
      </c>
      <c r="M133" s="270">
        <f t="shared" si="35"/>
        <v>0</v>
      </c>
      <c r="N133" s="270">
        <f t="shared" si="35"/>
        <v>0</v>
      </c>
      <c r="O133" s="270">
        <f t="shared" si="35"/>
        <v>0</v>
      </c>
      <c r="P133" s="270">
        <f t="shared" si="35"/>
        <v>0</v>
      </c>
      <c r="Q133" s="270">
        <f t="shared" si="35"/>
        <v>0</v>
      </c>
      <c r="R133" s="270">
        <f t="shared" si="35"/>
        <v>0</v>
      </c>
      <c r="S133" s="270">
        <f t="shared" si="35"/>
        <v>0</v>
      </c>
      <c r="T133" s="270">
        <f t="shared" si="35"/>
        <v>0</v>
      </c>
      <c r="U133" s="270">
        <f t="shared" si="35"/>
        <v>0</v>
      </c>
      <c r="V133" s="270">
        <f t="shared" si="35"/>
        <v>0</v>
      </c>
      <c r="W133" s="270">
        <f t="shared" si="35"/>
        <v>0</v>
      </c>
      <c r="X133" s="270">
        <f t="shared" si="35"/>
        <v>0</v>
      </c>
      <c r="Y133" s="270">
        <f t="shared" si="35"/>
        <v>0</v>
      </c>
      <c r="Z133" s="270">
        <f t="shared" si="35"/>
        <v>0</v>
      </c>
      <c r="AA133" s="270">
        <f t="shared" si="35"/>
        <v>0</v>
      </c>
      <c r="AB133" s="270">
        <f t="shared" si="35"/>
        <v>0</v>
      </c>
      <c r="AC133" s="270">
        <f t="shared" si="35"/>
        <v>0</v>
      </c>
      <c r="AD133" s="270">
        <f t="shared" si="35"/>
        <v>0</v>
      </c>
      <c r="AE133" s="270">
        <f t="shared" si="35"/>
        <v>0</v>
      </c>
      <c r="AF133" s="270">
        <f t="shared" si="35"/>
        <v>0</v>
      </c>
      <c r="AG133" s="270">
        <f t="shared" si="35"/>
        <v>0</v>
      </c>
      <c r="AH133" s="270">
        <f t="shared" si="35"/>
        <v>0</v>
      </c>
      <c r="AI133" s="270">
        <f t="shared" si="35"/>
        <v>0</v>
      </c>
      <c r="AJ133" s="270">
        <f t="shared" si="35"/>
        <v>0</v>
      </c>
    </row>
    <row r="134" spans="2:36" s="29" customFormat="1" ht="16">
      <c r="B134" s="259" t="s">
        <v>79</v>
      </c>
      <c r="C134" s="259"/>
      <c r="D134" s="259"/>
      <c r="E134" s="269">
        <f t="shared" si="30"/>
        <v>37500</v>
      </c>
      <c r="F134" s="268"/>
      <c r="G134" s="270">
        <f t="shared" ref="G134:AJ134" si="36">$E117*G117</f>
        <v>937.5</v>
      </c>
      <c r="H134" s="270">
        <f t="shared" si="36"/>
        <v>1875</v>
      </c>
      <c r="I134" s="270">
        <f t="shared" si="36"/>
        <v>1875</v>
      </c>
      <c r="J134" s="270">
        <f t="shared" si="36"/>
        <v>1875</v>
      </c>
      <c r="K134" s="270">
        <f t="shared" si="36"/>
        <v>1875</v>
      </c>
      <c r="L134" s="270">
        <f t="shared" si="36"/>
        <v>1875</v>
      </c>
      <c r="M134" s="270">
        <f t="shared" si="36"/>
        <v>1875</v>
      </c>
      <c r="N134" s="270">
        <f t="shared" si="36"/>
        <v>1875</v>
      </c>
      <c r="O134" s="270">
        <f t="shared" si="36"/>
        <v>1875</v>
      </c>
      <c r="P134" s="270">
        <f t="shared" si="36"/>
        <v>1875</v>
      </c>
      <c r="Q134" s="270">
        <f t="shared" si="36"/>
        <v>1875</v>
      </c>
      <c r="R134" s="270">
        <f t="shared" si="36"/>
        <v>1875</v>
      </c>
      <c r="S134" s="270">
        <f t="shared" si="36"/>
        <v>1875</v>
      </c>
      <c r="T134" s="270">
        <f t="shared" si="36"/>
        <v>1875</v>
      </c>
      <c r="U134" s="270">
        <f t="shared" si="36"/>
        <v>1875</v>
      </c>
      <c r="V134" s="270">
        <f t="shared" si="36"/>
        <v>1875</v>
      </c>
      <c r="W134" s="270">
        <f t="shared" si="36"/>
        <v>1875</v>
      </c>
      <c r="X134" s="270">
        <f t="shared" si="36"/>
        <v>1875</v>
      </c>
      <c r="Y134" s="270">
        <f t="shared" si="36"/>
        <v>1875</v>
      </c>
      <c r="Z134" s="270">
        <f t="shared" si="36"/>
        <v>1875</v>
      </c>
      <c r="AA134" s="270">
        <f t="shared" si="36"/>
        <v>937.5</v>
      </c>
      <c r="AB134" s="270">
        <f t="shared" si="36"/>
        <v>0</v>
      </c>
      <c r="AC134" s="270">
        <f t="shared" si="36"/>
        <v>0</v>
      </c>
      <c r="AD134" s="270">
        <f t="shared" si="36"/>
        <v>0</v>
      </c>
      <c r="AE134" s="270">
        <f t="shared" si="36"/>
        <v>0</v>
      </c>
      <c r="AF134" s="270">
        <f t="shared" si="36"/>
        <v>0</v>
      </c>
      <c r="AG134" s="270">
        <f t="shared" si="36"/>
        <v>0</v>
      </c>
      <c r="AH134" s="270">
        <f t="shared" si="36"/>
        <v>0</v>
      </c>
      <c r="AI134" s="270">
        <f t="shared" si="36"/>
        <v>0</v>
      </c>
      <c r="AJ134" s="270">
        <f t="shared" si="36"/>
        <v>0</v>
      </c>
    </row>
    <row r="135" spans="2:36" s="29" customFormat="1" ht="16">
      <c r="B135" s="259" t="s">
        <v>80</v>
      </c>
      <c r="C135" s="259"/>
      <c r="D135" s="259"/>
      <c r="E135" s="269">
        <f t="shared" si="30"/>
        <v>0</v>
      </c>
      <c r="F135" s="269"/>
      <c r="G135" s="270">
        <f t="shared" ref="G135:AJ135" si="37">$E118*G118</f>
        <v>0</v>
      </c>
      <c r="H135" s="270">
        <f t="shared" si="37"/>
        <v>0</v>
      </c>
      <c r="I135" s="270">
        <f t="shared" si="37"/>
        <v>0</v>
      </c>
      <c r="J135" s="270">
        <f t="shared" si="37"/>
        <v>0</v>
      </c>
      <c r="K135" s="270">
        <f t="shared" si="37"/>
        <v>0</v>
      </c>
      <c r="L135" s="270">
        <f t="shared" si="37"/>
        <v>0</v>
      </c>
      <c r="M135" s="270">
        <f t="shared" si="37"/>
        <v>0</v>
      </c>
      <c r="N135" s="270">
        <f t="shared" si="37"/>
        <v>0</v>
      </c>
      <c r="O135" s="270">
        <f t="shared" si="37"/>
        <v>0</v>
      </c>
      <c r="P135" s="270">
        <f t="shared" si="37"/>
        <v>0</v>
      </c>
      <c r="Q135" s="270">
        <f t="shared" si="37"/>
        <v>0</v>
      </c>
      <c r="R135" s="270">
        <f t="shared" si="37"/>
        <v>0</v>
      </c>
      <c r="S135" s="270">
        <f t="shared" si="37"/>
        <v>0</v>
      </c>
      <c r="T135" s="270">
        <f t="shared" si="37"/>
        <v>0</v>
      </c>
      <c r="U135" s="270">
        <f t="shared" si="37"/>
        <v>0</v>
      </c>
      <c r="V135" s="270">
        <f t="shared" si="37"/>
        <v>0</v>
      </c>
      <c r="W135" s="270">
        <f t="shared" si="37"/>
        <v>0</v>
      </c>
      <c r="X135" s="270">
        <f t="shared" si="37"/>
        <v>0</v>
      </c>
      <c r="Y135" s="270">
        <f t="shared" si="37"/>
        <v>0</v>
      </c>
      <c r="Z135" s="270">
        <f t="shared" si="37"/>
        <v>0</v>
      </c>
      <c r="AA135" s="270">
        <f t="shared" si="37"/>
        <v>0</v>
      </c>
      <c r="AB135" s="270">
        <f t="shared" si="37"/>
        <v>0</v>
      </c>
      <c r="AC135" s="270">
        <f t="shared" si="37"/>
        <v>0</v>
      </c>
      <c r="AD135" s="270">
        <f t="shared" si="37"/>
        <v>0</v>
      </c>
      <c r="AE135" s="270">
        <f t="shared" si="37"/>
        <v>0</v>
      </c>
      <c r="AF135" s="270">
        <f t="shared" si="37"/>
        <v>0</v>
      </c>
      <c r="AG135" s="270">
        <f t="shared" si="37"/>
        <v>0</v>
      </c>
      <c r="AH135" s="270">
        <f t="shared" si="37"/>
        <v>0</v>
      </c>
      <c r="AI135" s="270">
        <f t="shared" si="37"/>
        <v>0</v>
      </c>
      <c r="AJ135" s="270">
        <f t="shared" si="37"/>
        <v>0</v>
      </c>
    </row>
    <row r="136" spans="2:36" s="29" customFormat="1" ht="16">
      <c r="B136" s="259" t="s">
        <v>331</v>
      </c>
      <c r="C136" s="259"/>
      <c r="D136" s="259"/>
      <c r="E136" s="269">
        <f t="shared" si="30"/>
        <v>0</v>
      </c>
      <c r="F136" s="269"/>
      <c r="G136" s="270">
        <f t="shared" ref="G136:AJ136" si="38">$E119*G119</f>
        <v>0</v>
      </c>
      <c r="H136" s="270">
        <f t="shared" si="38"/>
        <v>0</v>
      </c>
      <c r="I136" s="270">
        <f t="shared" si="38"/>
        <v>0</v>
      </c>
      <c r="J136" s="270">
        <f t="shared" si="38"/>
        <v>0</v>
      </c>
      <c r="K136" s="270">
        <f t="shared" si="38"/>
        <v>0</v>
      </c>
      <c r="L136" s="270">
        <f t="shared" si="38"/>
        <v>0</v>
      </c>
      <c r="M136" s="270">
        <f t="shared" si="38"/>
        <v>0</v>
      </c>
      <c r="N136" s="270">
        <f t="shared" si="38"/>
        <v>0</v>
      </c>
      <c r="O136" s="270">
        <f t="shared" si="38"/>
        <v>0</v>
      </c>
      <c r="P136" s="270">
        <f t="shared" si="38"/>
        <v>0</v>
      </c>
      <c r="Q136" s="270">
        <f t="shared" si="38"/>
        <v>0</v>
      </c>
      <c r="R136" s="270">
        <f t="shared" si="38"/>
        <v>0</v>
      </c>
      <c r="S136" s="270">
        <f t="shared" si="38"/>
        <v>0</v>
      </c>
      <c r="T136" s="270">
        <f t="shared" si="38"/>
        <v>0</v>
      </c>
      <c r="U136" s="270">
        <f t="shared" si="38"/>
        <v>0</v>
      </c>
      <c r="V136" s="270">
        <f t="shared" si="38"/>
        <v>0</v>
      </c>
      <c r="W136" s="270">
        <f t="shared" si="38"/>
        <v>0</v>
      </c>
      <c r="X136" s="270">
        <f t="shared" si="38"/>
        <v>0</v>
      </c>
      <c r="Y136" s="270">
        <f t="shared" si="38"/>
        <v>0</v>
      </c>
      <c r="Z136" s="270">
        <f t="shared" si="38"/>
        <v>0</v>
      </c>
      <c r="AA136" s="270">
        <f t="shared" si="38"/>
        <v>0</v>
      </c>
      <c r="AB136" s="270">
        <f t="shared" si="38"/>
        <v>0</v>
      </c>
      <c r="AC136" s="270">
        <f t="shared" si="38"/>
        <v>0</v>
      </c>
      <c r="AD136" s="270">
        <f t="shared" si="38"/>
        <v>0</v>
      </c>
      <c r="AE136" s="270">
        <f t="shared" si="38"/>
        <v>0</v>
      </c>
      <c r="AF136" s="270">
        <f t="shared" si="38"/>
        <v>0</v>
      </c>
      <c r="AG136" s="270">
        <f t="shared" si="38"/>
        <v>0</v>
      </c>
      <c r="AH136" s="270">
        <f t="shared" si="38"/>
        <v>0</v>
      </c>
      <c r="AI136" s="270">
        <f t="shared" si="38"/>
        <v>0</v>
      </c>
      <c r="AJ136" s="270">
        <f t="shared" si="38"/>
        <v>0</v>
      </c>
    </row>
    <row r="137" spans="2:36" s="29" customFormat="1" ht="16">
      <c r="B137" s="272" t="s">
        <v>23</v>
      </c>
      <c r="C137" s="272"/>
      <c r="D137" s="272"/>
      <c r="E137" s="273">
        <f>E120</f>
        <v>93750</v>
      </c>
      <c r="F137" s="269"/>
      <c r="G137" s="271"/>
      <c r="H137" s="271"/>
      <c r="I137" s="271"/>
      <c r="J137" s="271"/>
      <c r="K137" s="271"/>
      <c r="L137" s="271"/>
      <c r="M137" s="271"/>
      <c r="N137" s="271"/>
      <c r="O137" s="271"/>
      <c r="P137" s="271"/>
      <c r="Q137" s="271"/>
      <c r="R137" s="271"/>
      <c r="S137" s="271"/>
      <c r="T137" s="271"/>
      <c r="U137" s="271"/>
      <c r="V137" s="271"/>
      <c r="W137" s="271"/>
      <c r="X137" s="271"/>
      <c r="Y137" s="271"/>
      <c r="Z137" s="271"/>
      <c r="AA137" s="271"/>
      <c r="AB137" s="271"/>
      <c r="AC137" s="271"/>
      <c r="AD137" s="271"/>
      <c r="AE137" s="271"/>
      <c r="AF137" s="271"/>
      <c r="AG137" s="271"/>
      <c r="AH137" s="271"/>
      <c r="AI137" s="271"/>
      <c r="AJ137" s="271"/>
    </row>
    <row r="138" spans="2:36" s="29" customFormat="1" ht="16">
      <c r="B138" s="274" t="s">
        <v>82</v>
      </c>
      <c r="C138" s="274"/>
      <c r="D138" s="274"/>
      <c r="E138" s="269">
        <f>SUM(E128:E137)</f>
        <v>3750000</v>
      </c>
      <c r="F138" s="275" t="str">
        <f>IF(ROUND(E138,0)=ROUND(E122,0),"OK","error")</f>
        <v>OK</v>
      </c>
      <c r="G138" s="271"/>
      <c r="H138" s="271"/>
      <c r="I138" s="271"/>
      <c r="J138" s="271"/>
      <c r="K138" s="271"/>
      <c r="L138" s="271"/>
      <c r="M138" s="271"/>
      <c r="N138" s="271"/>
      <c r="O138" s="271"/>
      <c r="P138" s="271"/>
      <c r="Q138" s="271"/>
      <c r="R138" s="271"/>
      <c r="S138" s="271"/>
      <c r="T138" s="271"/>
      <c r="U138" s="271"/>
      <c r="V138" s="271"/>
      <c r="W138" s="271"/>
      <c r="X138" s="271"/>
      <c r="Y138" s="271"/>
      <c r="Z138" s="271"/>
      <c r="AA138" s="271"/>
      <c r="AB138" s="271"/>
      <c r="AC138" s="271"/>
      <c r="AD138" s="271"/>
      <c r="AE138" s="271"/>
      <c r="AF138" s="271"/>
      <c r="AG138" s="271"/>
      <c r="AH138" s="271"/>
      <c r="AI138" s="271"/>
      <c r="AJ138" s="271"/>
    </row>
    <row r="139" spans="2:36" s="29" customFormat="1" ht="16">
      <c r="B139" s="274"/>
      <c r="C139" s="274"/>
      <c r="D139" s="274"/>
      <c r="E139" s="269"/>
      <c r="F139" s="275"/>
      <c r="G139" s="271"/>
      <c r="H139" s="271"/>
      <c r="I139" s="271"/>
      <c r="J139" s="271"/>
      <c r="K139" s="271"/>
      <c r="L139" s="271"/>
      <c r="M139" s="271"/>
      <c r="N139" s="271"/>
      <c r="O139" s="271"/>
      <c r="P139" s="271"/>
      <c r="Q139" s="271"/>
      <c r="R139" s="271"/>
      <c r="S139" s="271"/>
      <c r="T139" s="271"/>
      <c r="U139" s="271"/>
      <c r="V139" s="271"/>
      <c r="W139" s="271"/>
      <c r="X139" s="271"/>
      <c r="Y139" s="271"/>
      <c r="Z139" s="271"/>
      <c r="AA139" s="271"/>
      <c r="AB139" s="271"/>
      <c r="AC139" s="271"/>
      <c r="AD139" s="271"/>
      <c r="AE139" s="271"/>
      <c r="AF139" s="271"/>
      <c r="AG139" s="271"/>
      <c r="AH139" s="271"/>
      <c r="AI139" s="271"/>
      <c r="AJ139" s="271"/>
    </row>
    <row r="140" spans="2:36" s="29" customFormat="1" ht="16">
      <c r="B140" s="261" t="s">
        <v>152</v>
      </c>
      <c r="C140" s="261"/>
      <c r="D140" s="261"/>
      <c r="E140" s="269"/>
      <c r="F140" s="275"/>
      <c r="G140" s="271"/>
      <c r="H140" s="271"/>
      <c r="I140" s="271"/>
      <c r="J140" s="271"/>
      <c r="K140" s="271"/>
      <c r="L140" s="271"/>
      <c r="M140" s="271"/>
      <c r="N140" s="271"/>
      <c r="O140" s="271"/>
      <c r="P140" s="271"/>
      <c r="Q140" s="271"/>
      <c r="R140" s="271"/>
      <c r="S140" s="271"/>
      <c r="T140" s="271"/>
      <c r="U140" s="271"/>
      <c r="V140" s="271"/>
      <c r="W140" s="271"/>
      <c r="X140" s="271"/>
      <c r="Y140" s="271"/>
      <c r="Z140" s="271"/>
      <c r="AA140" s="271"/>
      <c r="AB140" s="271"/>
      <c r="AC140" s="271"/>
      <c r="AD140" s="271"/>
      <c r="AE140" s="271"/>
      <c r="AF140" s="271"/>
      <c r="AG140" s="271"/>
      <c r="AH140" s="271"/>
      <c r="AI140" s="271"/>
      <c r="AJ140" s="271"/>
    </row>
    <row r="141" spans="2:36" s="29" customFormat="1" ht="16">
      <c r="B141" s="259" t="s">
        <v>153</v>
      </c>
      <c r="C141" s="259"/>
      <c r="D141" s="259"/>
      <c r="E141" s="269">
        <f>Inputs!$Q$65*Inputs!$G$7</f>
        <v>0</v>
      </c>
      <c r="F141" s="275"/>
      <c r="G141" s="271">
        <f>IF(G$2=Inputs!$Q$64,'Cash Flow'!$E$141,0)</f>
        <v>0</v>
      </c>
      <c r="H141" s="271">
        <f>IF(H$2=Inputs!$Q$64,'Cash Flow'!$E$141,0)</f>
        <v>0</v>
      </c>
      <c r="I141" s="271">
        <f>IF(I$2=Inputs!$Q$64,'Cash Flow'!$E$141,0)</f>
        <v>0</v>
      </c>
      <c r="J141" s="271">
        <f>IF(J$2=Inputs!$Q$64,'Cash Flow'!$E$141,0)</f>
        <v>0</v>
      </c>
      <c r="K141" s="271">
        <f>IF(K$2=Inputs!$Q$64,'Cash Flow'!$E$141,0)</f>
        <v>0</v>
      </c>
      <c r="L141" s="271">
        <f>IF(L$2=Inputs!$Q$64,'Cash Flow'!$E$141,0)</f>
        <v>0</v>
      </c>
      <c r="M141" s="271">
        <f>IF(M$2=Inputs!$Q$64,'Cash Flow'!$E$141,0)</f>
        <v>0</v>
      </c>
      <c r="N141" s="271">
        <f>IF(N$2=Inputs!$Q$64,'Cash Flow'!$E$141,0)</f>
        <v>0</v>
      </c>
      <c r="O141" s="271">
        <f>IF(O$2=Inputs!$Q$64,'Cash Flow'!$E$141,0)</f>
        <v>0</v>
      </c>
      <c r="P141" s="271">
        <f>IF(P$2=Inputs!$Q$64,'Cash Flow'!$E$141,0)</f>
        <v>0</v>
      </c>
      <c r="Q141" s="271">
        <f>IF(Q$2=Inputs!$Q$64,'Cash Flow'!$E$141,0)</f>
        <v>0</v>
      </c>
      <c r="R141" s="271">
        <f>IF(R$2=Inputs!$Q$64,'Cash Flow'!$E$141,0)</f>
        <v>0</v>
      </c>
      <c r="S141" s="271">
        <f>IF(S$2=Inputs!$Q$64,'Cash Flow'!$E$141,0)</f>
        <v>0</v>
      </c>
      <c r="T141" s="271">
        <f>IF(T$2=Inputs!$Q$64,'Cash Flow'!$E$141,0)</f>
        <v>0</v>
      </c>
      <c r="U141" s="271">
        <f>IF(U$2=Inputs!$Q$64,'Cash Flow'!$E$141,0)</f>
        <v>0</v>
      </c>
      <c r="V141" s="271">
        <f>IF(V$2=Inputs!$Q$64,'Cash Flow'!$E$141,0)</f>
        <v>0</v>
      </c>
      <c r="W141" s="271">
        <f>IF(W$2=Inputs!$Q$64,'Cash Flow'!$E$141,0)</f>
        <v>0</v>
      </c>
      <c r="X141" s="271">
        <f>IF(X$2=Inputs!$Q$64,'Cash Flow'!$E$141,0)</f>
        <v>0</v>
      </c>
      <c r="Y141" s="271">
        <f>IF(Y$2=Inputs!$Q$64,'Cash Flow'!$E$141,0)</f>
        <v>0</v>
      </c>
      <c r="Z141" s="271">
        <f>IF(Z$2=Inputs!$Q$64,'Cash Flow'!$E$141,0)</f>
        <v>0</v>
      </c>
      <c r="AA141" s="271">
        <f>IF(AA$2=Inputs!$Q$64,'Cash Flow'!$E$141,0)</f>
        <v>0</v>
      </c>
      <c r="AB141" s="271">
        <f>IF(AB$2=Inputs!$Q$64,'Cash Flow'!$E$141,0)</f>
        <v>0</v>
      </c>
      <c r="AC141" s="271">
        <f>IF(AC$2=Inputs!$Q$64,'Cash Flow'!$E$141,0)</f>
        <v>0</v>
      </c>
      <c r="AD141" s="271">
        <f>IF(AD$2=Inputs!$Q$64,'Cash Flow'!$E$141,0)</f>
        <v>0</v>
      </c>
      <c r="AE141" s="271">
        <f>IF(AE$2=Inputs!$Q$64,'Cash Flow'!$E$141,0)</f>
        <v>0</v>
      </c>
      <c r="AF141" s="271">
        <f>IF(AF$2=Inputs!$Q$64,'Cash Flow'!$E$141,0)</f>
        <v>0</v>
      </c>
      <c r="AG141" s="271">
        <f>IF(AG$2=Inputs!$Q$64,'Cash Flow'!$E$141,0)</f>
        <v>0</v>
      </c>
      <c r="AH141" s="271">
        <f>IF(AH$2=Inputs!$Q$64,'Cash Flow'!$E$141,0)</f>
        <v>0</v>
      </c>
      <c r="AI141" s="271">
        <f>IF(AI$2=Inputs!$Q$64,'Cash Flow'!$E$141,0)</f>
        <v>0</v>
      </c>
      <c r="AJ141" s="271">
        <f>IF(AJ$2=Inputs!$Q$64,'Cash Flow'!$E$141,0)</f>
        <v>0</v>
      </c>
    </row>
    <row r="142" spans="2:36" s="29" customFormat="1" ht="16">
      <c r="B142" s="259" t="s">
        <v>155</v>
      </c>
      <c r="C142" s="259"/>
      <c r="D142" s="259"/>
      <c r="E142" s="269"/>
      <c r="F142" s="275"/>
      <c r="G142" s="276">
        <f>IF(G141&gt;0,1,IF(F142&gt;0,F142+1,0))</f>
        <v>0</v>
      </c>
      <c r="H142" s="276">
        <f t="shared" ref="H142:AJ142" si="39">IF(H141&gt;0,1,IF(G142&gt;0,G142+1,0))</f>
        <v>0</v>
      </c>
      <c r="I142" s="276">
        <f t="shared" si="39"/>
        <v>0</v>
      </c>
      <c r="J142" s="276">
        <f t="shared" si="39"/>
        <v>0</v>
      </c>
      <c r="K142" s="276">
        <f t="shared" si="39"/>
        <v>0</v>
      </c>
      <c r="L142" s="276">
        <f t="shared" si="39"/>
        <v>0</v>
      </c>
      <c r="M142" s="276">
        <f t="shared" si="39"/>
        <v>0</v>
      </c>
      <c r="N142" s="276">
        <f t="shared" si="39"/>
        <v>0</v>
      </c>
      <c r="O142" s="276">
        <f t="shared" si="39"/>
        <v>0</v>
      </c>
      <c r="P142" s="276">
        <f t="shared" si="39"/>
        <v>0</v>
      </c>
      <c r="Q142" s="276">
        <f t="shared" si="39"/>
        <v>0</v>
      </c>
      <c r="R142" s="276">
        <f t="shared" si="39"/>
        <v>0</v>
      </c>
      <c r="S142" s="276">
        <f t="shared" si="39"/>
        <v>0</v>
      </c>
      <c r="T142" s="276">
        <f t="shared" si="39"/>
        <v>0</v>
      </c>
      <c r="U142" s="276">
        <f t="shared" si="39"/>
        <v>0</v>
      </c>
      <c r="V142" s="276">
        <f t="shared" si="39"/>
        <v>0</v>
      </c>
      <c r="W142" s="276">
        <f t="shared" si="39"/>
        <v>0</v>
      </c>
      <c r="X142" s="276">
        <f t="shared" si="39"/>
        <v>0</v>
      </c>
      <c r="Y142" s="276">
        <f t="shared" si="39"/>
        <v>0</v>
      </c>
      <c r="Z142" s="276">
        <f t="shared" si="39"/>
        <v>0</v>
      </c>
      <c r="AA142" s="276">
        <f t="shared" si="39"/>
        <v>0</v>
      </c>
      <c r="AB142" s="276">
        <f t="shared" si="39"/>
        <v>0</v>
      </c>
      <c r="AC142" s="276">
        <f t="shared" si="39"/>
        <v>0</v>
      </c>
      <c r="AD142" s="276">
        <f t="shared" si="39"/>
        <v>0</v>
      </c>
      <c r="AE142" s="276">
        <f t="shared" si="39"/>
        <v>0</v>
      </c>
      <c r="AF142" s="276">
        <f t="shared" si="39"/>
        <v>0</v>
      </c>
      <c r="AG142" s="276">
        <f t="shared" si="39"/>
        <v>0</v>
      </c>
      <c r="AH142" s="276">
        <f t="shared" si="39"/>
        <v>0</v>
      </c>
      <c r="AI142" s="276">
        <f t="shared" si="39"/>
        <v>0</v>
      </c>
      <c r="AJ142" s="276">
        <f t="shared" si="39"/>
        <v>0</v>
      </c>
    </row>
    <row r="143" spans="2:36" s="29" customFormat="1" ht="16">
      <c r="B143" s="272" t="s">
        <v>156</v>
      </c>
      <c r="C143" s="272"/>
      <c r="D143" s="272"/>
      <c r="E143" s="273"/>
      <c r="F143" s="275"/>
      <c r="G143" s="271">
        <f t="shared" ref="G143:AJ143" si="40">IF(G142=0,0,$E$141*LOOKUP(G142,$G$109:$AJ$109,$G$111:$AJ$111))</f>
        <v>0</v>
      </c>
      <c r="H143" s="271">
        <f t="shared" si="40"/>
        <v>0</v>
      </c>
      <c r="I143" s="271">
        <f t="shared" si="40"/>
        <v>0</v>
      </c>
      <c r="J143" s="271">
        <f t="shared" si="40"/>
        <v>0</v>
      </c>
      <c r="K143" s="271">
        <f t="shared" si="40"/>
        <v>0</v>
      </c>
      <c r="L143" s="271">
        <f t="shared" si="40"/>
        <v>0</v>
      </c>
      <c r="M143" s="271">
        <f t="shared" si="40"/>
        <v>0</v>
      </c>
      <c r="N143" s="271">
        <f t="shared" si="40"/>
        <v>0</v>
      </c>
      <c r="O143" s="271">
        <f t="shared" si="40"/>
        <v>0</v>
      </c>
      <c r="P143" s="271">
        <f t="shared" si="40"/>
        <v>0</v>
      </c>
      <c r="Q143" s="271">
        <f t="shared" si="40"/>
        <v>0</v>
      </c>
      <c r="R143" s="271">
        <f t="shared" si="40"/>
        <v>0</v>
      </c>
      <c r="S143" s="271">
        <f t="shared" si="40"/>
        <v>0</v>
      </c>
      <c r="T143" s="271">
        <f t="shared" si="40"/>
        <v>0</v>
      </c>
      <c r="U143" s="271">
        <f t="shared" si="40"/>
        <v>0</v>
      </c>
      <c r="V143" s="271">
        <f t="shared" si="40"/>
        <v>0</v>
      </c>
      <c r="W143" s="271">
        <f t="shared" si="40"/>
        <v>0</v>
      </c>
      <c r="X143" s="271">
        <f t="shared" si="40"/>
        <v>0</v>
      </c>
      <c r="Y143" s="271">
        <f t="shared" si="40"/>
        <v>0</v>
      </c>
      <c r="Z143" s="271">
        <f t="shared" si="40"/>
        <v>0</v>
      </c>
      <c r="AA143" s="271">
        <f t="shared" si="40"/>
        <v>0</v>
      </c>
      <c r="AB143" s="271">
        <f t="shared" si="40"/>
        <v>0</v>
      </c>
      <c r="AC143" s="271">
        <f t="shared" si="40"/>
        <v>0</v>
      </c>
      <c r="AD143" s="271">
        <f t="shared" si="40"/>
        <v>0</v>
      </c>
      <c r="AE143" s="271">
        <f t="shared" si="40"/>
        <v>0</v>
      </c>
      <c r="AF143" s="271">
        <f t="shared" si="40"/>
        <v>0</v>
      </c>
      <c r="AG143" s="271">
        <f t="shared" si="40"/>
        <v>0</v>
      </c>
      <c r="AH143" s="271">
        <f t="shared" si="40"/>
        <v>0</v>
      </c>
      <c r="AI143" s="271">
        <f t="shared" si="40"/>
        <v>0</v>
      </c>
      <c r="AJ143" s="271">
        <f t="shared" si="40"/>
        <v>0</v>
      </c>
    </row>
    <row r="144" spans="2:36" s="29" customFormat="1" ht="16">
      <c r="B144" s="259" t="s">
        <v>154</v>
      </c>
      <c r="C144" s="259"/>
      <c r="D144" s="259"/>
      <c r="E144" s="269">
        <f>Inputs!$Q$67*Inputs!$G$7</f>
        <v>0</v>
      </c>
      <c r="F144" s="275"/>
      <c r="G144" s="271">
        <f>IF(G$2=Inputs!$Q$66,'Cash Flow'!$E$144,0)</f>
        <v>0</v>
      </c>
      <c r="H144" s="271">
        <f>IF(H$2=Inputs!$Q$66,'Cash Flow'!$E$144,0)</f>
        <v>0</v>
      </c>
      <c r="I144" s="271">
        <f>IF(I$2=Inputs!$Q$66,'Cash Flow'!$E$144,0)</f>
        <v>0</v>
      </c>
      <c r="J144" s="271">
        <f>IF(J$2=Inputs!$Q$66,'Cash Flow'!$E$144,0)</f>
        <v>0</v>
      </c>
      <c r="K144" s="271">
        <f>IF(K$2=Inputs!$Q$66,'Cash Flow'!$E$144,0)</f>
        <v>0</v>
      </c>
      <c r="L144" s="271">
        <f>IF(L$2=Inputs!$Q$66,'Cash Flow'!$E$144,0)</f>
        <v>0</v>
      </c>
      <c r="M144" s="271">
        <f>IF(M$2=Inputs!$Q$66,'Cash Flow'!$E$144,0)</f>
        <v>0</v>
      </c>
      <c r="N144" s="271">
        <f>IF(N$2=Inputs!$Q$66,'Cash Flow'!$E$144,0)</f>
        <v>0</v>
      </c>
      <c r="O144" s="271">
        <f>IF(O$2=Inputs!$Q$66,'Cash Flow'!$E$144,0)</f>
        <v>0</v>
      </c>
      <c r="P144" s="271">
        <f>IF(P$2=Inputs!$Q$66,'Cash Flow'!$E$144,0)</f>
        <v>0</v>
      </c>
      <c r="Q144" s="271">
        <f>IF(Q$2=Inputs!$Q$66,'Cash Flow'!$E$144,0)</f>
        <v>0</v>
      </c>
      <c r="R144" s="271">
        <f>IF(R$2=Inputs!$Q$66,'Cash Flow'!$E$144,0)</f>
        <v>0</v>
      </c>
      <c r="S144" s="271">
        <f>IF(S$2=Inputs!$Q$66,'Cash Flow'!$E$144,0)</f>
        <v>0</v>
      </c>
      <c r="T144" s="271">
        <f>IF(T$2=Inputs!$Q$66,'Cash Flow'!$E$144,0)</f>
        <v>0</v>
      </c>
      <c r="U144" s="271">
        <f>IF(U$2=Inputs!$Q$66,'Cash Flow'!$E$144,0)</f>
        <v>0</v>
      </c>
      <c r="V144" s="271">
        <f>IF(V$2=Inputs!$Q$66,'Cash Flow'!$E$144,0)</f>
        <v>0</v>
      </c>
      <c r="W144" s="271">
        <f>IF(W$2=Inputs!$Q$66,'Cash Flow'!$E$144,0)</f>
        <v>0</v>
      </c>
      <c r="X144" s="271">
        <f>IF(X$2=Inputs!$Q$66,'Cash Flow'!$E$144,0)</f>
        <v>0</v>
      </c>
      <c r="Y144" s="271">
        <f>IF(Y$2=Inputs!$Q$66,'Cash Flow'!$E$144,0)</f>
        <v>0</v>
      </c>
      <c r="Z144" s="271">
        <f>IF(Z$2=Inputs!$Q$66,'Cash Flow'!$E$144,0)</f>
        <v>0</v>
      </c>
      <c r="AA144" s="271">
        <f>IF(AA$2=Inputs!$Q$66,'Cash Flow'!$E$144,0)</f>
        <v>0</v>
      </c>
      <c r="AB144" s="271">
        <f>IF(AB$2=Inputs!$Q$66,'Cash Flow'!$E$144,0)</f>
        <v>0</v>
      </c>
      <c r="AC144" s="271">
        <f>IF(AC$2=Inputs!$Q$66,'Cash Flow'!$E$144,0)</f>
        <v>0</v>
      </c>
      <c r="AD144" s="271">
        <f>IF(AD$2=Inputs!$Q$66,'Cash Flow'!$E$144,0)</f>
        <v>0</v>
      </c>
      <c r="AE144" s="271">
        <f>IF(AE$2=Inputs!$Q$66,'Cash Flow'!$E$144,0)</f>
        <v>0</v>
      </c>
      <c r="AF144" s="271">
        <f>IF(AF$2=Inputs!$Q$66,'Cash Flow'!$E$144,0)</f>
        <v>0</v>
      </c>
      <c r="AG144" s="271">
        <f>IF(AG$2=Inputs!$Q$66,'Cash Flow'!$E$144,0)</f>
        <v>0</v>
      </c>
      <c r="AH144" s="271">
        <f>IF(AH$2=Inputs!$Q$66,'Cash Flow'!$E$144,0)</f>
        <v>0</v>
      </c>
      <c r="AI144" s="271">
        <f>IF(AI$2=Inputs!$Q$66,'Cash Flow'!$E$144,0)</f>
        <v>0</v>
      </c>
      <c r="AJ144" s="271">
        <f>IF(AJ$2=Inputs!$Q$66,'Cash Flow'!$E$144,0)</f>
        <v>0</v>
      </c>
    </row>
    <row r="145" spans="2:36" s="29" customFormat="1" ht="16">
      <c r="B145" s="259" t="s">
        <v>155</v>
      </c>
      <c r="C145" s="259"/>
      <c r="D145" s="259"/>
      <c r="E145" s="269"/>
      <c r="F145" s="275"/>
      <c r="G145" s="276">
        <f t="shared" ref="G145:AJ145" si="41">IF(G144&gt;0,1,IF(F145&gt;0,F145+1,0))</f>
        <v>0</v>
      </c>
      <c r="H145" s="276">
        <f t="shared" si="41"/>
        <v>0</v>
      </c>
      <c r="I145" s="276">
        <f t="shared" si="41"/>
        <v>0</v>
      </c>
      <c r="J145" s="276">
        <f t="shared" si="41"/>
        <v>0</v>
      </c>
      <c r="K145" s="276">
        <f t="shared" si="41"/>
        <v>0</v>
      </c>
      <c r="L145" s="276">
        <f t="shared" si="41"/>
        <v>0</v>
      </c>
      <c r="M145" s="276">
        <f t="shared" si="41"/>
        <v>0</v>
      </c>
      <c r="N145" s="276">
        <f t="shared" si="41"/>
        <v>0</v>
      </c>
      <c r="O145" s="276">
        <f t="shared" si="41"/>
        <v>0</v>
      </c>
      <c r="P145" s="276">
        <f t="shared" si="41"/>
        <v>0</v>
      </c>
      <c r="Q145" s="276">
        <f t="shared" si="41"/>
        <v>0</v>
      </c>
      <c r="R145" s="276">
        <f t="shared" si="41"/>
        <v>0</v>
      </c>
      <c r="S145" s="276">
        <f t="shared" si="41"/>
        <v>0</v>
      </c>
      <c r="T145" s="276">
        <f t="shared" si="41"/>
        <v>0</v>
      </c>
      <c r="U145" s="276">
        <f t="shared" si="41"/>
        <v>0</v>
      </c>
      <c r="V145" s="276">
        <f t="shared" si="41"/>
        <v>0</v>
      </c>
      <c r="W145" s="276">
        <f t="shared" si="41"/>
        <v>0</v>
      </c>
      <c r="X145" s="276">
        <f t="shared" si="41"/>
        <v>0</v>
      </c>
      <c r="Y145" s="276">
        <f t="shared" si="41"/>
        <v>0</v>
      </c>
      <c r="Z145" s="276">
        <f t="shared" si="41"/>
        <v>0</v>
      </c>
      <c r="AA145" s="276">
        <f t="shared" si="41"/>
        <v>0</v>
      </c>
      <c r="AB145" s="276">
        <f t="shared" si="41"/>
        <v>0</v>
      </c>
      <c r="AC145" s="276">
        <f t="shared" si="41"/>
        <v>0</v>
      </c>
      <c r="AD145" s="276">
        <f t="shared" si="41"/>
        <v>0</v>
      </c>
      <c r="AE145" s="276">
        <f t="shared" si="41"/>
        <v>0</v>
      </c>
      <c r="AF145" s="276">
        <f t="shared" si="41"/>
        <v>0</v>
      </c>
      <c r="AG145" s="276">
        <f t="shared" si="41"/>
        <v>0</v>
      </c>
      <c r="AH145" s="276">
        <f t="shared" si="41"/>
        <v>0</v>
      </c>
      <c r="AI145" s="276">
        <f t="shared" si="41"/>
        <v>0</v>
      </c>
      <c r="AJ145" s="276">
        <f t="shared" si="41"/>
        <v>0</v>
      </c>
    </row>
    <row r="146" spans="2:36" s="29" customFormat="1" ht="16">
      <c r="B146" s="272" t="s">
        <v>156</v>
      </c>
      <c r="C146" s="272"/>
      <c r="D146" s="272"/>
      <c r="E146" s="273"/>
      <c r="F146" s="275"/>
      <c r="G146" s="271">
        <f t="shared" ref="G146:AJ146" si="42">IF(G145=0,0,$E$144*LOOKUP(G145,$G$109:$AJ$109,$G$111:$AJ$111))</f>
        <v>0</v>
      </c>
      <c r="H146" s="271">
        <f t="shared" si="42"/>
        <v>0</v>
      </c>
      <c r="I146" s="271">
        <f t="shared" si="42"/>
        <v>0</v>
      </c>
      <c r="J146" s="271">
        <f t="shared" si="42"/>
        <v>0</v>
      </c>
      <c r="K146" s="271">
        <f t="shared" si="42"/>
        <v>0</v>
      </c>
      <c r="L146" s="271">
        <f t="shared" si="42"/>
        <v>0</v>
      </c>
      <c r="M146" s="271">
        <f t="shared" si="42"/>
        <v>0</v>
      </c>
      <c r="N146" s="271">
        <f t="shared" si="42"/>
        <v>0</v>
      </c>
      <c r="O146" s="271">
        <f t="shared" si="42"/>
        <v>0</v>
      </c>
      <c r="P146" s="271">
        <f t="shared" si="42"/>
        <v>0</v>
      </c>
      <c r="Q146" s="271">
        <f t="shared" si="42"/>
        <v>0</v>
      </c>
      <c r="R146" s="271">
        <f t="shared" si="42"/>
        <v>0</v>
      </c>
      <c r="S146" s="271">
        <f t="shared" si="42"/>
        <v>0</v>
      </c>
      <c r="T146" s="271">
        <f t="shared" si="42"/>
        <v>0</v>
      </c>
      <c r="U146" s="271">
        <f t="shared" si="42"/>
        <v>0</v>
      </c>
      <c r="V146" s="271">
        <f t="shared" si="42"/>
        <v>0</v>
      </c>
      <c r="W146" s="271">
        <f t="shared" si="42"/>
        <v>0</v>
      </c>
      <c r="X146" s="271">
        <f t="shared" si="42"/>
        <v>0</v>
      </c>
      <c r="Y146" s="271">
        <f t="shared" si="42"/>
        <v>0</v>
      </c>
      <c r="Z146" s="271">
        <f t="shared" si="42"/>
        <v>0</v>
      </c>
      <c r="AA146" s="271">
        <f t="shared" si="42"/>
        <v>0</v>
      </c>
      <c r="AB146" s="271">
        <f t="shared" si="42"/>
        <v>0</v>
      </c>
      <c r="AC146" s="271">
        <f t="shared" si="42"/>
        <v>0</v>
      </c>
      <c r="AD146" s="271">
        <f t="shared" si="42"/>
        <v>0</v>
      </c>
      <c r="AE146" s="271">
        <f t="shared" si="42"/>
        <v>0</v>
      </c>
      <c r="AF146" s="271">
        <f t="shared" si="42"/>
        <v>0</v>
      </c>
      <c r="AG146" s="271">
        <f t="shared" si="42"/>
        <v>0</v>
      </c>
      <c r="AH146" s="271">
        <f t="shared" si="42"/>
        <v>0</v>
      </c>
      <c r="AI146" s="271">
        <f t="shared" si="42"/>
        <v>0</v>
      </c>
      <c r="AJ146" s="271">
        <f t="shared" si="42"/>
        <v>0</v>
      </c>
    </row>
    <row r="147" spans="2:36" s="29" customFormat="1" ht="16">
      <c r="B147" s="259" t="s">
        <v>361</v>
      </c>
      <c r="C147" s="259"/>
      <c r="D147" s="259"/>
      <c r="E147" s="269">
        <f>Inputs!$Q$69*Inputs!$G$7</f>
        <v>0</v>
      </c>
      <c r="F147" s="275"/>
      <c r="G147" s="271">
        <f>IF(G$2=Inputs!$Q$68,'Cash Flow'!$E$147,0)</f>
        <v>0</v>
      </c>
      <c r="H147" s="271">
        <f>IF(H$2=Inputs!$Q$68,'Cash Flow'!$E$147,0)</f>
        <v>0</v>
      </c>
      <c r="I147" s="271">
        <f>IF(I$2=Inputs!$Q$68,'Cash Flow'!$E$147,0)</f>
        <v>0</v>
      </c>
      <c r="J147" s="271">
        <f>IF(J$2=Inputs!$Q$68,'Cash Flow'!$E$147,0)</f>
        <v>0</v>
      </c>
      <c r="K147" s="271">
        <f>IF(K$2=Inputs!$Q$68,'Cash Flow'!$E$147,0)</f>
        <v>0</v>
      </c>
      <c r="L147" s="271">
        <f>IF(L$2=Inputs!$Q$68,'Cash Flow'!$E$147,0)</f>
        <v>0</v>
      </c>
      <c r="M147" s="271">
        <f>IF(M$2=Inputs!$Q$68,'Cash Flow'!$E$147,0)</f>
        <v>0</v>
      </c>
      <c r="N147" s="271">
        <f>IF(N$2=Inputs!$Q$68,'Cash Flow'!$E$147,0)</f>
        <v>0</v>
      </c>
      <c r="O147" s="271">
        <f>IF(O$2=Inputs!$Q$68,'Cash Flow'!$E$147,0)</f>
        <v>0</v>
      </c>
      <c r="P147" s="271">
        <f>IF(P$2=Inputs!$Q$68,'Cash Flow'!$E$147,0)</f>
        <v>0</v>
      </c>
      <c r="Q147" s="271">
        <f>IF(Q$2=Inputs!$Q$68,'Cash Flow'!$E$147,0)</f>
        <v>0</v>
      </c>
      <c r="R147" s="271">
        <f>IF(R$2=Inputs!$Q$68,'Cash Flow'!$E$147,0)</f>
        <v>0</v>
      </c>
      <c r="S147" s="271">
        <f>IF(S$2=Inputs!$Q$68,'Cash Flow'!$E$147,0)</f>
        <v>0</v>
      </c>
      <c r="T147" s="271">
        <f>IF(T$2=Inputs!$Q$68,'Cash Flow'!$E$147,0)</f>
        <v>0</v>
      </c>
      <c r="U147" s="271">
        <f>IF(U$2=Inputs!$Q$68,'Cash Flow'!$E$147,0)</f>
        <v>0</v>
      </c>
      <c r="V147" s="271">
        <f>IF(V$2=Inputs!$Q$68,'Cash Flow'!$E$147,0)</f>
        <v>0</v>
      </c>
      <c r="W147" s="271">
        <f>IF(W$2=Inputs!$Q$68,'Cash Flow'!$E$147,0)</f>
        <v>0</v>
      </c>
      <c r="X147" s="271">
        <f>IF(X$2=Inputs!$Q$68,'Cash Flow'!$E$147,0)</f>
        <v>0</v>
      </c>
      <c r="Y147" s="271">
        <f>IF(Y$2=Inputs!$Q$68,'Cash Flow'!$E$147,0)</f>
        <v>0</v>
      </c>
      <c r="Z147" s="271">
        <f>IF(Z$2=Inputs!$Q$68,'Cash Flow'!$E$147,0)</f>
        <v>0</v>
      </c>
      <c r="AA147" s="271">
        <f>IF(AA$2=Inputs!$Q$68,'Cash Flow'!$E$147,0)</f>
        <v>0</v>
      </c>
      <c r="AB147" s="271">
        <f>IF(AB$2=Inputs!$Q$68,'Cash Flow'!$E$147,0)</f>
        <v>0</v>
      </c>
      <c r="AC147" s="271">
        <f>IF(AC$2=Inputs!$Q$68,'Cash Flow'!$E$147,0)</f>
        <v>0</v>
      </c>
      <c r="AD147" s="271">
        <f>IF(AD$2=Inputs!$Q$68,'Cash Flow'!$E$147,0)</f>
        <v>0</v>
      </c>
      <c r="AE147" s="271">
        <f>IF(AE$2=Inputs!$Q$68,'Cash Flow'!$E$147,0)</f>
        <v>0</v>
      </c>
      <c r="AF147" s="271">
        <f>IF(AF$2=Inputs!$Q$68,'Cash Flow'!$E$147,0)</f>
        <v>0</v>
      </c>
      <c r="AG147" s="271">
        <f>IF(AG$2=Inputs!$Q$68,'Cash Flow'!$E$147,0)</f>
        <v>0</v>
      </c>
      <c r="AH147" s="271">
        <f>IF(AH$2=Inputs!$Q$68,'Cash Flow'!$E$147,0)</f>
        <v>0</v>
      </c>
      <c r="AI147" s="271">
        <f>IF(AI$2=Inputs!$Q$68,'Cash Flow'!$E$147,0)</f>
        <v>0</v>
      </c>
      <c r="AJ147" s="271">
        <f>IF(AJ$2=Inputs!$Q$68,'Cash Flow'!$E$147,0)</f>
        <v>0</v>
      </c>
    </row>
    <row r="148" spans="2:36" s="29" customFormat="1" ht="16">
      <c r="B148" s="259" t="s">
        <v>155</v>
      </c>
      <c r="C148" s="259"/>
      <c r="D148" s="259"/>
      <c r="E148" s="269"/>
      <c r="F148" s="275"/>
      <c r="G148" s="276">
        <f>IF(G147&gt;0,1,IF(F148&gt;0,F148+1,0))</f>
        <v>0</v>
      </c>
      <c r="H148" s="276">
        <f t="shared" ref="H148:AJ148" si="43">IF(H147&gt;0,1,IF(G148&gt;0,G148+1,0))</f>
        <v>0</v>
      </c>
      <c r="I148" s="276">
        <f t="shared" si="43"/>
        <v>0</v>
      </c>
      <c r="J148" s="276">
        <f t="shared" si="43"/>
        <v>0</v>
      </c>
      <c r="K148" s="276">
        <f t="shared" si="43"/>
        <v>0</v>
      </c>
      <c r="L148" s="276">
        <f t="shared" si="43"/>
        <v>0</v>
      </c>
      <c r="M148" s="276">
        <f t="shared" si="43"/>
        <v>0</v>
      </c>
      <c r="N148" s="276">
        <f t="shared" si="43"/>
        <v>0</v>
      </c>
      <c r="O148" s="276">
        <f t="shared" si="43"/>
        <v>0</v>
      </c>
      <c r="P148" s="276">
        <f t="shared" si="43"/>
        <v>0</v>
      </c>
      <c r="Q148" s="276">
        <f t="shared" si="43"/>
        <v>0</v>
      </c>
      <c r="R148" s="276">
        <f t="shared" si="43"/>
        <v>0</v>
      </c>
      <c r="S148" s="276">
        <f t="shared" si="43"/>
        <v>0</v>
      </c>
      <c r="T148" s="276">
        <f t="shared" si="43"/>
        <v>0</v>
      </c>
      <c r="U148" s="276">
        <f t="shared" si="43"/>
        <v>0</v>
      </c>
      <c r="V148" s="276">
        <f t="shared" si="43"/>
        <v>0</v>
      </c>
      <c r="W148" s="276">
        <f t="shared" si="43"/>
        <v>0</v>
      </c>
      <c r="X148" s="276">
        <f t="shared" si="43"/>
        <v>0</v>
      </c>
      <c r="Y148" s="276">
        <f t="shared" si="43"/>
        <v>0</v>
      </c>
      <c r="Z148" s="276">
        <f t="shared" si="43"/>
        <v>0</v>
      </c>
      <c r="AA148" s="276">
        <f t="shared" si="43"/>
        <v>0</v>
      </c>
      <c r="AB148" s="276">
        <f t="shared" si="43"/>
        <v>0</v>
      </c>
      <c r="AC148" s="276">
        <f t="shared" si="43"/>
        <v>0</v>
      </c>
      <c r="AD148" s="276">
        <f t="shared" si="43"/>
        <v>0</v>
      </c>
      <c r="AE148" s="276">
        <f t="shared" si="43"/>
        <v>0</v>
      </c>
      <c r="AF148" s="276">
        <f t="shared" si="43"/>
        <v>0</v>
      </c>
      <c r="AG148" s="276">
        <f t="shared" si="43"/>
        <v>0</v>
      </c>
      <c r="AH148" s="276">
        <f t="shared" si="43"/>
        <v>0</v>
      </c>
      <c r="AI148" s="276">
        <f t="shared" si="43"/>
        <v>0</v>
      </c>
      <c r="AJ148" s="276">
        <f t="shared" si="43"/>
        <v>0</v>
      </c>
    </row>
    <row r="149" spans="2:36" s="29" customFormat="1" ht="16">
      <c r="B149" s="272" t="s">
        <v>156</v>
      </c>
      <c r="C149" s="272"/>
      <c r="D149" s="272"/>
      <c r="E149" s="273"/>
      <c r="F149" s="275"/>
      <c r="G149" s="271">
        <f>IF(G148=0,0,$E$147*LOOKUP(G148,$G$109:$AJ$109,$G$111:$AJ$111))</f>
        <v>0</v>
      </c>
      <c r="H149" s="271">
        <f t="shared" ref="H149:AJ149" si="44">IF(H148=0,0,$E$147*LOOKUP(H148,$G$109:$AJ$109,$G$111:$AJ$111))</f>
        <v>0</v>
      </c>
      <c r="I149" s="271">
        <f t="shared" si="44"/>
        <v>0</v>
      </c>
      <c r="J149" s="271">
        <f t="shared" si="44"/>
        <v>0</v>
      </c>
      <c r="K149" s="271">
        <f t="shared" si="44"/>
        <v>0</v>
      </c>
      <c r="L149" s="271">
        <f t="shared" si="44"/>
        <v>0</v>
      </c>
      <c r="M149" s="271">
        <f t="shared" si="44"/>
        <v>0</v>
      </c>
      <c r="N149" s="271">
        <f t="shared" si="44"/>
        <v>0</v>
      </c>
      <c r="O149" s="271">
        <f t="shared" si="44"/>
        <v>0</v>
      </c>
      <c r="P149" s="271">
        <f t="shared" si="44"/>
        <v>0</v>
      </c>
      <c r="Q149" s="271">
        <f t="shared" si="44"/>
        <v>0</v>
      </c>
      <c r="R149" s="271">
        <f t="shared" si="44"/>
        <v>0</v>
      </c>
      <c r="S149" s="271">
        <f t="shared" si="44"/>
        <v>0</v>
      </c>
      <c r="T149" s="271">
        <f t="shared" si="44"/>
        <v>0</v>
      </c>
      <c r="U149" s="271">
        <f t="shared" si="44"/>
        <v>0</v>
      </c>
      <c r="V149" s="271">
        <f t="shared" si="44"/>
        <v>0</v>
      </c>
      <c r="W149" s="271">
        <f t="shared" si="44"/>
        <v>0</v>
      </c>
      <c r="X149" s="271">
        <f t="shared" si="44"/>
        <v>0</v>
      </c>
      <c r="Y149" s="271">
        <f t="shared" si="44"/>
        <v>0</v>
      </c>
      <c r="Z149" s="271">
        <f t="shared" si="44"/>
        <v>0</v>
      </c>
      <c r="AA149" s="271">
        <f t="shared" si="44"/>
        <v>0</v>
      </c>
      <c r="AB149" s="271">
        <f t="shared" si="44"/>
        <v>0</v>
      </c>
      <c r="AC149" s="271">
        <f t="shared" si="44"/>
        <v>0</v>
      </c>
      <c r="AD149" s="271">
        <f t="shared" si="44"/>
        <v>0</v>
      </c>
      <c r="AE149" s="271">
        <f t="shared" si="44"/>
        <v>0</v>
      </c>
      <c r="AF149" s="271">
        <f t="shared" si="44"/>
        <v>0</v>
      </c>
      <c r="AG149" s="271">
        <f t="shared" si="44"/>
        <v>0</v>
      </c>
      <c r="AH149" s="271">
        <f t="shared" si="44"/>
        <v>0</v>
      </c>
      <c r="AI149" s="271">
        <f t="shared" si="44"/>
        <v>0</v>
      </c>
      <c r="AJ149" s="271">
        <f t="shared" si="44"/>
        <v>0</v>
      </c>
    </row>
    <row r="150" spans="2:36" s="29" customFormat="1" ht="16">
      <c r="B150" s="259" t="s">
        <v>362</v>
      </c>
      <c r="C150" s="259"/>
      <c r="D150" s="259"/>
      <c r="E150" s="269">
        <f>Inputs!$Q$71*Inputs!$G$7</f>
        <v>0</v>
      </c>
      <c r="F150" s="275"/>
      <c r="G150" s="271">
        <f>IF(G$2=Inputs!$Q$70,'Cash Flow'!$E$150,0)</f>
        <v>0</v>
      </c>
      <c r="H150" s="271">
        <f>IF(H$2=Inputs!$Q$70,'Cash Flow'!$E$150,0)</f>
        <v>0</v>
      </c>
      <c r="I150" s="271">
        <f>IF(I$2=Inputs!$Q$70,'Cash Flow'!$E$150,0)</f>
        <v>0</v>
      </c>
      <c r="J150" s="271">
        <f>IF(J$2=Inputs!$Q$70,'Cash Flow'!$E$150,0)</f>
        <v>0</v>
      </c>
      <c r="K150" s="271">
        <f>IF(K$2=Inputs!$Q$70,'Cash Flow'!$E$150,0)</f>
        <v>0</v>
      </c>
      <c r="L150" s="271">
        <f>IF(L$2=Inputs!$Q$70,'Cash Flow'!$E$150,0)</f>
        <v>0</v>
      </c>
      <c r="M150" s="271">
        <f>IF(M$2=Inputs!$Q$70,'Cash Flow'!$E$150,0)</f>
        <v>0</v>
      </c>
      <c r="N150" s="271">
        <f>IF(N$2=Inputs!$Q$70,'Cash Flow'!$E$150,0)</f>
        <v>0</v>
      </c>
      <c r="O150" s="271">
        <f>IF(O$2=Inputs!$Q$70,'Cash Flow'!$E$150,0)</f>
        <v>0</v>
      </c>
      <c r="P150" s="271">
        <f>IF(P$2=Inputs!$Q$70,'Cash Flow'!$E$150,0)</f>
        <v>0</v>
      </c>
      <c r="Q150" s="271">
        <f>IF(Q$2=Inputs!$Q$70,'Cash Flow'!$E$150,0)</f>
        <v>0</v>
      </c>
      <c r="R150" s="271">
        <f>IF(R$2=Inputs!$Q$70,'Cash Flow'!$E$150,0)</f>
        <v>0</v>
      </c>
      <c r="S150" s="271">
        <f>IF(S$2=Inputs!$Q$70,'Cash Flow'!$E$150,0)</f>
        <v>0</v>
      </c>
      <c r="T150" s="271">
        <f>IF(T$2=Inputs!$Q$70,'Cash Flow'!$E$150,0)</f>
        <v>0</v>
      </c>
      <c r="U150" s="271">
        <f>IF(U$2=Inputs!$Q$70,'Cash Flow'!$E$150,0)</f>
        <v>0</v>
      </c>
      <c r="V150" s="271">
        <f>IF(V$2=Inputs!$Q$70,'Cash Flow'!$E$150,0)</f>
        <v>0</v>
      </c>
      <c r="W150" s="271">
        <f>IF(W$2=Inputs!$Q$70,'Cash Flow'!$E$150,0)</f>
        <v>0</v>
      </c>
      <c r="X150" s="271">
        <f>IF(X$2=Inputs!$Q$70,'Cash Flow'!$E$150,0)</f>
        <v>0</v>
      </c>
      <c r="Y150" s="271">
        <f>IF(Y$2=Inputs!$Q$70,'Cash Flow'!$E$150,0)</f>
        <v>0</v>
      </c>
      <c r="Z150" s="271">
        <f>IF(Z$2=Inputs!$Q$70,'Cash Flow'!$E$150,0)</f>
        <v>0</v>
      </c>
      <c r="AA150" s="271">
        <f>IF(AA$2=Inputs!$Q$70,'Cash Flow'!$E$150,0)</f>
        <v>0</v>
      </c>
      <c r="AB150" s="271">
        <f>IF(AB$2=Inputs!$Q$70,'Cash Flow'!$E$150,0)</f>
        <v>0</v>
      </c>
      <c r="AC150" s="271">
        <f>IF(AC$2=Inputs!$Q$70,'Cash Flow'!$E$150,0)</f>
        <v>0</v>
      </c>
      <c r="AD150" s="271">
        <f>IF(AD$2=Inputs!$Q$70,'Cash Flow'!$E$150,0)</f>
        <v>0</v>
      </c>
      <c r="AE150" s="271">
        <f>IF(AE$2=Inputs!$Q$70,'Cash Flow'!$E$150,0)</f>
        <v>0</v>
      </c>
      <c r="AF150" s="271">
        <f>IF(AF$2=Inputs!$Q$70,'Cash Flow'!$E$150,0)</f>
        <v>0</v>
      </c>
      <c r="AG150" s="271">
        <f>IF(AG$2=Inputs!$Q$70,'Cash Flow'!$E$150,0)</f>
        <v>0</v>
      </c>
      <c r="AH150" s="271">
        <f>IF(AH$2=Inputs!$Q$70,'Cash Flow'!$E$150,0)</f>
        <v>0</v>
      </c>
      <c r="AI150" s="271">
        <f>IF(AI$2=Inputs!$Q$70,'Cash Flow'!$E$150,0)</f>
        <v>0</v>
      </c>
      <c r="AJ150" s="271">
        <f>IF(AJ$2=Inputs!$Q$70,'Cash Flow'!$E$150,0)</f>
        <v>0</v>
      </c>
    </row>
    <row r="151" spans="2:36" s="29" customFormat="1" ht="16">
      <c r="B151" s="259" t="s">
        <v>155</v>
      </c>
      <c r="C151" s="259"/>
      <c r="D151" s="259"/>
      <c r="E151" s="269"/>
      <c r="F151" s="275"/>
      <c r="G151" s="276">
        <f>IF(G150&gt;0,1,IF(F151&gt;0,F151+1,0))</f>
        <v>0</v>
      </c>
      <c r="H151" s="276">
        <f t="shared" ref="H151:AJ151" si="45">IF(H150&gt;0,1,IF(G151&gt;0,G151+1,0))</f>
        <v>0</v>
      </c>
      <c r="I151" s="276">
        <f t="shared" si="45"/>
        <v>0</v>
      </c>
      <c r="J151" s="276">
        <f t="shared" si="45"/>
        <v>0</v>
      </c>
      <c r="K151" s="276">
        <f t="shared" si="45"/>
        <v>0</v>
      </c>
      <c r="L151" s="276">
        <f t="shared" si="45"/>
        <v>0</v>
      </c>
      <c r="M151" s="276">
        <f t="shared" si="45"/>
        <v>0</v>
      </c>
      <c r="N151" s="276">
        <f t="shared" si="45"/>
        <v>0</v>
      </c>
      <c r="O151" s="276">
        <f t="shared" si="45"/>
        <v>0</v>
      </c>
      <c r="P151" s="276">
        <f t="shared" si="45"/>
        <v>0</v>
      </c>
      <c r="Q151" s="276">
        <f t="shared" si="45"/>
        <v>0</v>
      </c>
      <c r="R151" s="276">
        <f t="shared" si="45"/>
        <v>0</v>
      </c>
      <c r="S151" s="276">
        <f t="shared" si="45"/>
        <v>0</v>
      </c>
      <c r="T151" s="276">
        <f t="shared" si="45"/>
        <v>0</v>
      </c>
      <c r="U151" s="276">
        <f t="shared" si="45"/>
        <v>0</v>
      </c>
      <c r="V151" s="276">
        <f t="shared" si="45"/>
        <v>0</v>
      </c>
      <c r="W151" s="276">
        <f t="shared" si="45"/>
        <v>0</v>
      </c>
      <c r="X151" s="276">
        <f t="shared" si="45"/>
        <v>0</v>
      </c>
      <c r="Y151" s="276">
        <f t="shared" si="45"/>
        <v>0</v>
      </c>
      <c r="Z151" s="276">
        <f t="shared" si="45"/>
        <v>0</v>
      </c>
      <c r="AA151" s="276">
        <f t="shared" si="45"/>
        <v>0</v>
      </c>
      <c r="AB151" s="276">
        <f t="shared" si="45"/>
        <v>0</v>
      </c>
      <c r="AC151" s="276">
        <f t="shared" si="45"/>
        <v>0</v>
      </c>
      <c r="AD151" s="276">
        <f t="shared" si="45"/>
        <v>0</v>
      </c>
      <c r="AE151" s="276">
        <f t="shared" si="45"/>
        <v>0</v>
      </c>
      <c r="AF151" s="276">
        <f t="shared" si="45"/>
        <v>0</v>
      </c>
      <c r="AG151" s="276">
        <f t="shared" si="45"/>
        <v>0</v>
      </c>
      <c r="AH151" s="276">
        <f t="shared" si="45"/>
        <v>0</v>
      </c>
      <c r="AI151" s="276">
        <f t="shared" si="45"/>
        <v>0</v>
      </c>
      <c r="AJ151" s="276">
        <f t="shared" si="45"/>
        <v>0</v>
      </c>
    </row>
    <row r="152" spans="2:36" s="29" customFormat="1" ht="16">
      <c r="B152" s="272" t="s">
        <v>156</v>
      </c>
      <c r="C152" s="272"/>
      <c r="D152" s="272"/>
      <c r="E152" s="273"/>
      <c r="F152" s="275"/>
      <c r="G152" s="271">
        <f>IF(G151=0,0,$E$150*LOOKUP(G151,$G$109:$AJ$109,$G$111:$AJ$111))</f>
        <v>0</v>
      </c>
      <c r="H152" s="271">
        <f t="shared" ref="H152:AJ152" si="46">IF(H151=0,0,$E$150*LOOKUP(H151,$G$109:$AJ$109,$G$111:$AJ$111))</f>
        <v>0</v>
      </c>
      <c r="I152" s="271">
        <f t="shared" si="46"/>
        <v>0</v>
      </c>
      <c r="J152" s="271">
        <f t="shared" si="46"/>
        <v>0</v>
      </c>
      <c r="K152" s="271">
        <f t="shared" si="46"/>
        <v>0</v>
      </c>
      <c r="L152" s="271">
        <f t="shared" si="46"/>
        <v>0</v>
      </c>
      <c r="M152" s="271">
        <f t="shared" si="46"/>
        <v>0</v>
      </c>
      <c r="N152" s="271">
        <f t="shared" si="46"/>
        <v>0</v>
      </c>
      <c r="O152" s="271">
        <f t="shared" si="46"/>
        <v>0</v>
      </c>
      <c r="P152" s="271">
        <f t="shared" si="46"/>
        <v>0</v>
      </c>
      <c r="Q152" s="271">
        <f t="shared" si="46"/>
        <v>0</v>
      </c>
      <c r="R152" s="271">
        <f t="shared" si="46"/>
        <v>0</v>
      </c>
      <c r="S152" s="271">
        <f t="shared" si="46"/>
        <v>0</v>
      </c>
      <c r="T152" s="271">
        <f t="shared" si="46"/>
        <v>0</v>
      </c>
      <c r="U152" s="271">
        <f t="shared" si="46"/>
        <v>0</v>
      </c>
      <c r="V152" s="271">
        <f t="shared" si="46"/>
        <v>0</v>
      </c>
      <c r="W152" s="271">
        <f t="shared" si="46"/>
        <v>0</v>
      </c>
      <c r="X152" s="271">
        <f t="shared" si="46"/>
        <v>0</v>
      </c>
      <c r="Y152" s="271">
        <f t="shared" si="46"/>
        <v>0</v>
      </c>
      <c r="Z152" s="271">
        <f t="shared" si="46"/>
        <v>0</v>
      </c>
      <c r="AA152" s="271">
        <f t="shared" si="46"/>
        <v>0</v>
      </c>
      <c r="AB152" s="271">
        <f t="shared" si="46"/>
        <v>0</v>
      </c>
      <c r="AC152" s="271">
        <f t="shared" si="46"/>
        <v>0</v>
      </c>
      <c r="AD152" s="271">
        <f t="shared" si="46"/>
        <v>0</v>
      </c>
      <c r="AE152" s="271">
        <f t="shared" si="46"/>
        <v>0</v>
      </c>
      <c r="AF152" s="271">
        <f t="shared" si="46"/>
        <v>0</v>
      </c>
      <c r="AG152" s="271">
        <f t="shared" si="46"/>
        <v>0</v>
      </c>
      <c r="AH152" s="271">
        <f t="shared" si="46"/>
        <v>0</v>
      </c>
      <c r="AI152" s="271">
        <f t="shared" si="46"/>
        <v>0</v>
      </c>
      <c r="AJ152" s="271">
        <f t="shared" si="46"/>
        <v>0</v>
      </c>
    </row>
    <row r="153" spans="2:36" s="29" customFormat="1" ht="16">
      <c r="B153" s="259"/>
      <c r="C153" s="274"/>
      <c r="D153" s="274"/>
      <c r="E153" s="269"/>
      <c r="F153" s="275"/>
      <c r="G153" s="271"/>
      <c r="H153" s="271"/>
      <c r="I153" s="271"/>
      <c r="J153" s="271"/>
      <c r="K153" s="271"/>
      <c r="L153" s="271"/>
      <c r="M153" s="271"/>
      <c r="N153" s="271"/>
      <c r="O153" s="271"/>
      <c r="P153" s="271"/>
      <c r="Q153" s="271"/>
      <c r="R153" s="271"/>
      <c r="S153" s="271"/>
      <c r="T153" s="271"/>
      <c r="U153" s="271"/>
      <c r="V153" s="271"/>
      <c r="W153" s="271"/>
      <c r="X153" s="271"/>
      <c r="Y153" s="271"/>
      <c r="Z153" s="271"/>
      <c r="AA153" s="271"/>
      <c r="AB153" s="271"/>
      <c r="AC153" s="271"/>
      <c r="AD153" s="271"/>
      <c r="AE153" s="271"/>
      <c r="AF153" s="271"/>
      <c r="AG153" s="271"/>
      <c r="AH153" s="271"/>
      <c r="AI153" s="271"/>
      <c r="AJ153" s="271"/>
    </row>
    <row r="154" spans="2:36" s="29" customFormat="1" ht="16">
      <c r="B154" s="259" t="s">
        <v>233</v>
      </c>
      <c r="C154" s="259"/>
      <c r="D154" s="259"/>
      <c r="E154" s="268"/>
      <c r="F154" s="307"/>
      <c r="G154" s="277">
        <f>IF(AND(Inputs!$G$84="Yes",G$2&lt;=Inputs!$G$18),SUM('Cash Flow'!G128:G136)+G143+G146+G149+G152,0)</f>
        <v>710156.25</v>
      </c>
      <c r="H154" s="277">
        <f>IF(AND(Inputs!$G$84="Yes",H$2&lt;=Inputs!$G$18),SUM('Cash Flow'!H128:H136)+H143+H146+H149+H152,0)</f>
        <v>1137925.875</v>
      </c>
      <c r="I154" s="277">
        <f>IF(AND(Inputs!$G$84="Yes",I$2&lt;=Inputs!$G$18),SUM('Cash Flow'!I128:I136)+I143+I146+I149+I152,0)</f>
        <v>685988.25</v>
      </c>
      <c r="J154" s="277">
        <f>IF(AND(Inputs!$G$84="Yes",J$2&lt;=Inputs!$G$18),SUM('Cash Flow'!J128:J136)+J143+J146+J149+J152,0)</f>
        <v>414602.625</v>
      </c>
      <c r="K154" s="277">
        <f>IF(AND(Inputs!$G$84="Yes",K$2&lt;=Inputs!$G$18),SUM('Cash Flow'!K128:K136)+K143+K146+K149+K152,0)</f>
        <v>413995.5</v>
      </c>
      <c r="L154" s="277">
        <f>IF(AND(Inputs!$G$84="Yes",L$2&lt;=Inputs!$G$18),SUM('Cash Flow'!L128:L136)+L143+L146+L149+L152,0)</f>
        <v>210401.25</v>
      </c>
      <c r="M154" s="277">
        <f>IF(AND(Inputs!$G$84="Yes",M$2&lt;=Inputs!$G$18),SUM('Cash Flow'!M128:M136)+M143+M146+M149+M152,0)</f>
        <v>7026.75</v>
      </c>
      <c r="N154" s="277">
        <f>IF(AND(Inputs!$G$84="Yes",N$2&lt;=Inputs!$G$18),SUM('Cash Flow'!N128:N136)+N143+N146+N149+N152,0)</f>
        <v>6889.5</v>
      </c>
      <c r="O154" s="277">
        <f>IF(AND(Inputs!$G$84="Yes",O$2&lt;=Inputs!$G$18),SUM('Cash Flow'!O128:O136)+O143+O146+O149+O152,0)</f>
        <v>6872.625</v>
      </c>
      <c r="P154" s="277">
        <f>IF(AND(Inputs!$G$84="Yes",P$2&lt;=Inputs!$G$18),SUM('Cash Flow'!P128:P136)+P143+P146+P149+P152,0)</f>
        <v>6866.625</v>
      </c>
      <c r="Q154" s="277">
        <f>IF(AND(Inputs!$G$84="Yes",Q$2&lt;=Inputs!$G$18),SUM('Cash Flow'!Q128:Q136)+Q143+Q146+Q149+Q152,0)</f>
        <v>6872.625</v>
      </c>
      <c r="R154" s="277">
        <f>IF(AND(Inputs!$G$84="Yes",R$2&lt;=Inputs!$G$18),SUM('Cash Flow'!R128:R136)+R143+R146+R149+R152,0)</f>
        <v>6866.625</v>
      </c>
      <c r="S154" s="277">
        <f>IF(AND(Inputs!$G$84="Yes",S$2&lt;=Inputs!$G$18),SUM('Cash Flow'!S128:S136)+S143+S146+S149+S152,0)</f>
        <v>6872.625</v>
      </c>
      <c r="T154" s="277">
        <f>IF(AND(Inputs!$G$84="Yes",T$2&lt;=Inputs!$G$18),SUM('Cash Flow'!T128:T136)+T143+T146+T149+T152,0)</f>
        <v>6866.625</v>
      </c>
      <c r="U154" s="277">
        <f>IF(AND(Inputs!$G$84="Yes",U$2&lt;=Inputs!$G$18),SUM('Cash Flow'!U128:U136)+U143+U146+U149+U152,0)</f>
        <v>6872.625</v>
      </c>
      <c r="V154" s="277">
        <f>IF(AND(Inputs!$G$84="Yes",V$2&lt;=Inputs!$G$18),SUM('Cash Flow'!V128:V136)+V143+V146+V149+V152,0)</f>
        <v>5207.25</v>
      </c>
      <c r="W154" s="277">
        <f>IF(AND(Inputs!$G$84="Yes",W$2&lt;=Inputs!$G$18),SUM('Cash Flow'!W128:W136)+W143+W146+W149+W152,0)</f>
        <v>3548.25</v>
      </c>
      <c r="X154" s="277">
        <f>IF(AND(Inputs!$G$84="Yes",X$2&lt;=Inputs!$G$18),SUM('Cash Flow'!X128:X136)+X143+X146+X149+X152,0)</f>
        <v>3547.875</v>
      </c>
      <c r="Y154" s="277">
        <f>IF(AND(Inputs!$G$84="Yes",Y$2&lt;=Inputs!$G$18),SUM('Cash Flow'!Y128:Y136)+Y143+Y146+Y149+Y152,0)</f>
        <v>3548.25</v>
      </c>
      <c r="Z154" s="277">
        <f>IF(AND(Inputs!$G$84="Yes",Z$2&lt;=Inputs!$G$18),SUM('Cash Flow'!Z128:Z136)+Z143+Z146+Z149+Z152,0)</f>
        <v>3547.875</v>
      </c>
      <c r="AA154" s="277">
        <f>IF(AND(Inputs!$G$84="Yes",AA$2&lt;=Inputs!$G$18),SUM('Cash Flow'!AA128:AA136)+AA143+AA146+AA149+AA152,0)</f>
        <v>0</v>
      </c>
      <c r="AB154" s="277">
        <f>IF(AND(Inputs!$G$84="Yes",AB$2&lt;=Inputs!$G$18),SUM('Cash Flow'!AB128:AB136)+AB143+AB146+AB149+AB152,0)</f>
        <v>0</v>
      </c>
      <c r="AC154" s="277">
        <f>IF(AND(Inputs!$G$84="Yes",AC$2&lt;=Inputs!$G$18),SUM('Cash Flow'!AC128:AC136)+AC143+AC146+AC149+AC152,0)</f>
        <v>0</v>
      </c>
      <c r="AD154" s="277">
        <f>IF(AND(Inputs!$G$84="Yes",AD$2&lt;=Inputs!$G$18),SUM('Cash Flow'!AD128:AD136)+AD143+AD146+AD149+AD152,0)</f>
        <v>0</v>
      </c>
      <c r="AE154" s="277">
        <f>IF(AND(Inputs!$G$84="Yes",AE$2&lt;=Inputs!$G$18),SUM('Cash Flow'!AE128:AE136)+AE143+AE146+AE149+AE152,0)</f>
        <v>0</v>
      </c>
      <c r="AF154" s="277">
        <f>IF(AND(Inputs!$G$84="Yes",AF$2&lt;=Inputs!$G$18),SUM('Cash Flow'!AF128:AF136)+AF143+AF146+AF149+AF152,0)</f>
        <v>0</v>
      </c>
      <c r="AG154" s="277">
        <f>IF(AND(Inputs!$G$84="Yes",AG$2&lt;=Inputs!$G$18),SUM('Cash Flow'!AG128:AG136)+AG143+AG146+AG149+AG152,0)</f>
        <v>0</v>
      </c>
      <c r="AH154" s="277">
        <f>IF(AND(Inputs!$G$84="Yes",AH$2&lt;=Inputs!$G$18),SUM('Cash Flow'!AH128:AH136)+AH143+AH146+AH149+AH152,0)</f>
        <v>0</v>
      </c>
      <c r="AI154" s="277">
        <f>IF(AND(Inputs!$G$84="Yes",AI$2&lt;=Inputs!$G$18),SUM('Cash Flow'!AI128:AI136)+AI143+AI146+AI149+AI152,0)</f>
        <v>0</v>
      </c>
      <c r="AJ154" s="277">
        <f>IF(AND(Inputs!$G$84="Yes",AJ$2&lt;=Inputs!$G$18),SUM('Cash Flow'!AJ128:AJ136)+AJ143+AJ146+AJ149+AJ152,0)</f>
        <v>0</v>
      </c>
    </row>
    <row r="155" spans="2:36" s="29" customFormat="1" ht="16">
      <c r="B155" s="259"/>
      <c r="C155" s="259"/>
      <c r="D155" s="259"/>
      <c r="E155" s="268"/>
      <c r="F155" s="307"/>
      <c r="G155" s="277"/>
      <c r="H155" s="277"/>
      <c r="I155" s="277"/>
      <c r="J155" s="277"/>
      <c r="K155" s="277"/>
      <c r="L155" s="277"/>
      <c r="M155" s="277"/>
      <c r="N155" s="277"/>
      <c r="O155" s="277"/>
      <c r="P155" s="277"/>
      <c r="Q155" s="277"/>
      <c r="R155" s="277"/>
      <c r="S155" s="277"/>
      <c r="T155" s="277"/>
      <c r="U155" s="277"/>
      <c r="V155" s="277"/>
      <c r="W155" s="277"/>
      <c r="X155" s="277"/>
      <c r="Y155" s="277"/>
      <c r="Z155" s="277"/>
      <c r="AA155" s="277"/>
      <c r="AB155" s="277"/>
      <c r="AC155" s="277"/>
      <c r="AD155" s="277"/>
      <c r="AE155" s="277"/>
      <c r="AF155" s="277"/>
      <c r="AG155" s="277"/>
      <c r="AH155" s="277"/>
      <c r="AI155" s="277"/>
      <c r="AJ155" s="277"/>
    </row>
    <row r="156" spans="2:36" s="29" customFormat="1" ht="16">
      <c r="B156" s="259" t="s">
        <v>187</v>
      </c>
      <c r="C156" s="259"/>
      <c r="D156" s="259"/>
      <c r="E156" s="268"/>
      <c r="F156" s="307"/>
      <c r="G156" s="279">
        <f>G154*Inputs!$G$89</f>
        <v>287790.8203125</v>
      </c>
      <c r="H156" s="279">
        <f>H154*Inputs!$G$89</f>
        <v>461144.46084374998</v>
      </c>
      <c r="I156" s="279">
        <f>I154*Inputs!$G$89</f>
        <v>277996.73831250001</v>
      </c>
      <c r="J156" s="279">
        <f>J154*Inputs!$G$89</f>
        <v>168017.71378125</v>
      </c>
      <c r="K156" s="279">
        <f>K154*Inputs!$G$89</f>
        <v>167771.67637500001</v>
      </c>
      <c r="L156" s="279">
        <f>L154*Inputs!$G$89</f>
        <v>85265.106562500005</v>
      </c>
      <c r="M156" s="279">
        <f>M154*Inputs!$G$89</f>
        <v>2847.5904375</v>
      </c>
      <c r="N156" s="279">
        <f>N154*Inputs!$G$89</f>
        <v>2791.9698749999998</v>
      </c>
      <c r="O156" s="279">
        <f>O154*Inputs!$G$89</f>
        <v>2785.13128125</v>
      </c>
      <c r="P156" s="279">
        <f>P154*Inputs!$G$89</f>
        <v>2782.6997812499999</v>
      </c>
      <c r="Q156" s="279">
        <f>Q154*Inputs!$G$89</f>
        <v>2785.13128125</v>
      </c>
      <c r="R156" s="279">
        <f>R154*Inputs!$G$89</f>
        <v>2782.6997812499999</v>
      </c>
      <c r="S156" s="279">
        <f>S154*Inputs!$G$89</f>
        <v>2785.13128125</v>
      </c>
      <c r="T156" s="279">
        <f>T154*Inputs!$G$89</f>
        <v>2782.6997812499999</v>
      </c>
      <c r="U156" s="279">
        <f>U154*Inputs!$G$89</f>
        <v>2785.13128125</v>
      </c>
      <c r="V156" s="279">
        <f>V154*Inputs!$G$89</f>
        <v>2110.2380625000001</v>
      </c>
      <c r="W156" s="279">
        <f>W154*Inputs!$G$89</f>
        <v>1437.9283124999999</v>
      </c>
      <c r="X156" s="279">
        <f>X154*Inputs!$G$89</f>
        <v>1437.77634375</v>
      </c>
      <c r="Y156" s="279">
        <f>Y154*Inputs!$G$89</f>
        <v>1437.9283124999999</v>
      </c>
      <c r="Z156" s="279">
        <f>Z154*Inputs!$G$89</f>
        <v>1437.77634375</v>
      </c>
      <c r="AA156" s="279">
        <f>AA154*Inputs!$G$89</f>
        <v>0</v>
      </c>
      <c r="AB156" s="279">
        <f>AB154*Inputs!$G$89</f>
        <v>0</v>
      </c>
      <c r="AC156" s="279">
        <f>AC154*Inputs!$G$89</f>
        <v>0</v>
      </c>
      <c r="AD156" s="279">
        <f>AD154*Inputs!$G$89</f>
        <v>0</v>
      </c>
      <c r="AE156" s="279">
        <f>AE154*Inputs!$G$89</f>
        <v>0</v>
      </c>
      <c r="AF156" s="279">
        <f>AF154*Inputs!$G$89</f>
        <v>0</v>
      </c>
      <c r="AG156" s="279">
        <f>AG154*Inputs!$G$89</f>
        <v>0</v>
      </c>
      <c r="AH156" s="279">
        <f>AH154*Inputs!$G$89</f>
        <v>0</v>
      </c>
      <c r="AI156" s="279">
        <f>AI154*Inputs!$G$89</f>
        <v>0</v>
      </c>
      <c r="AJ156" s="279">
        <f>AJ154*Inputs!$G$89</f>
        <v>0</v>
      </c>
    </row>
    <row r="157" spans="2:36" s="29" customFormat="1" ht="17" thickBot="1">
      <c r="B157" s="280"/>
      <c r="C157" s="280"/>
      <c r="D157" s="280"/>
      <c r="E157" s="281"/>
      <c r="F157" s="281"/>
      <c r="G157" s="282"/>
      <c r="H157" s="283"/>
      <c r="I157" s="281"/>
      <c r="J157" s="281"/>
      <c r="K157" s="281"/>
      <c r="L157" s="281"/>
      <c r="M157" s="281"/>
      <c r="N157" s="281"/>
      <c r="O157" s="281"/>
      <c r="P157" s="281"/>
      <c r="Q157" s="281"/>
      <c r="R157" s="281"/>
      <c r="S157" s="281"/>
      <c r="T157" s="281"/>
      <c r="U157" s="281"/>
      <c r="V157" s="281"/>
      <c r="W157" s="281"/>
      <c r="X157" s="281"/>
      <c r="Y157" s="281"/>
      <c r="Z157" s="281"/>
      <c r="AA157" s="281"/>
      <c r="AB157" s="281"/>
      <c r="AC157" s="281"/>
      <c r="AD157" s="281"/>
      <c r="AE157" s="281"/>
      <c r="AF157" s="281"/>
      <c r="AG157" s="281"/>
      <c r="AH157" s="281"/>
      <c r="AI157" s="281"/>
      <c r="AJ157" s="281"/>
    </row>
    <row r="158" spans="2:36">
      <c r="B158" s="303"/>
      <c r="C158" s="303"/>
      <c r="D158" s="303"/>
      <c r="E158" s="303"/>
      <c r="F158" s="303"/>
      <c r="G158" s="303"/>
      <c r="H158" s="303"/>
      <c r="I158" s="303"/>
      <c r="J158" s="303"/>
      <c r="K158" s="303"/>
      <c r="L158" s="303"/>
      <c r="M158" s="303"/>
      <c r="N158" s="303"/>
      <c r="O158" s="303"/>
      <c r="P158" s="303"/>
      <c r="Q158" s="303"/>
      <c r="R158" s="303"/>
      <c r="S158" s="303"/>
      <c r="T158" s="303"/>
      <c r="U158" s="303"/>
      <c r="V158" s="303"/>
      <c r="W158" s="303"/>
      <c r="X158" s="303"/>
      <c r="Y158" s="303"/>
      <c r="Z158" s="303"/>
      <c r="AA158" s="303"/>
      <c r="AB158" s="303"/>
      <c r="AC158" s="303"/>
      <c r="AD158" s="303"/>
      <c r="AE158" s="303"/>
      <c r="AF158" s="303"/>
      <c r="AG158" s="303"/>
      <c r="AH158" s="303"/>
      <c r="AI158" s="303"/>
      <c r="AJ158" s="303"/>
    </row>
    <row r="159" spans="2:36" ht="16">
      <c r="B159" s="258" t="s">
        <v>227</v>
      </c>
      <c r="C159" s="258"/>
      <c r="D159" s="258"/>
      <c r="E159" s="303"/>
      <c r="F159" s="303"/>
      <c r="G159" s="303"/>
      <c r="H159" s="303"/>
      <c r="I159" s="303"/>
      <c r="J159" s="303"/>
      <c r="K159" s="303"/>
      <c r="L159" s="303"/>
      <c r="M159" s="303"/>
      <c r="N159" s="303"/>
      <c r="O159" s="303"/>
      <c r="P159" s="303"/>
      <c r="Q159" s="303"/>
      <c r="R159" s="303"/>
      <c r="S159" s="303"/>
      <c r="T159" s="303"/>
      <c r="U159" s="303"/>
      <c r="V159" s="303"/>
      <c r="W159" s="303"/>
      <c r="X159" s="303"/>
      <c r="Y159" s="303"/>
      <c r="Z159" s="303"/>
      <c r="AA159" s="303"/>
      <c r="AB159" s="303"/>
      <c r="AC159" s="303"/>
      <c r="AD159" s="303"/>
      <c r="AE159" s="303"/>
      <c r="AF159" s="303"/>
      <c r="AG159" s="303"/>
      <c r="AH159" s="303"/>
      <c r="AI159" s="303"/>
      <c r="AJ159" s="303"/>
    </row>
    <row r="160" spans="2:36" ht="16">
      <c r="B160" s="259"/>
      <c r="C160" s="259"/>
      <c r="D160" s="259"/>
      <c r="E160" s="303"/>
      <c r="F160" s="303"/>
      <c r="G160" s="303"/>
      <c r="H160" s="303"/>
      <c r="I160" s="303"/>
      <c r="J160" s="303"/>
      <c r="K160" s="303"/>
      <c r="L160" s="303"/>
      <c r="M160" s="303"/>
      <c r="N160" s="303"/>
      <c r="O160" s="303"/>
      <c r="P160" s="303"/>
      <c r="Q160" s="303"/>
      <c r="R160" s="303"/>
      <c r="S160" s="303"/>
      <c r="T160" s="303"/>
      <c r="U160" s="303"/>
      <c r="V160" s="303"/>
      <c r="W160" s="303"/>
      <c r="X160" s="303"/>
      <c r="Y160" s="303"/>
      <c r="Z160" s="303"/>
      <c r="AA160" s="303"/>
      <c r="AB160" s="303"/>
      <c r="AC160" s="303"/>
      <c r="AD160" s="303"/>
      <c r="AE160" s="303"/>
      <c r="AF160" s="303"/>
      <c r="AG160" s="303"/>
      <c r="AH160" s="303"/>
      <c r="AI160" s="303"/>
      <c r="AJ160" s="303"/>
    </row>
    <row r="161" spans="2:36" ht="16">
      <c r="B161" s="259" t="s">
        <v>226</v>
      </c>
      <c r="C161" s="259"/>
      <c r="D161" s="259"/>
      <c r="E161" s="303"/>
      <c r="F161" s="303"/>
      <c r="G161" s="279">
        <f>G70</f>
        <v>-434348.04013264133</v>
      </c>
      <c r="H161" s="279">
        <f t="shared" ref="H161:AJ161" si="47">H70</f>
        <v>-860879.09193296928</v>
      </c>
      <c r="I161" s="279">
        <f t="shared" si="47"/>
        <v>-407319.70520932012</v>
      </c>
      <c r="J161" s="279">
        <f t="shared" si="47"/>
        <v>-133896.37699701538</v>
      </c>
      <c r="K161" s="279">
        <f t="shared" si="47"/>
        <v>-130800.44302848954</v>
      </c>
      <c r="L161" s="279">
        <f t="shared" si="47"/>
        <v>75771.468429820612</v>
      </c>
      <c r="M161" s="279">
        <f t="shared" si="47"/>
        <v>282652.99476943922</v>
      </c>
      <c r="N161" s="279">
        <f t="shared" si="47"/>
        <v>286870.11010364245</v>
      </c>
      <c r="O161" s="279">
        <f t="shared" si="47"/>
        <v>291586.33510506799</v>
      </c>
      <c r="P161" s="279">
        <f t="shared" si="47"/>
        <v>296961.21158229728</v>
      </c>
      <c r="Q161" s="279">
        <f t="shared" si="47"/>
        <v>236734.48397820431</v>
      </c>
      <c r="R161" s="279">
        <f t="shared" si="47"/>
        <v>242287.08581779158</v>
      </c>
      <c r="S161" s="279">
        <f t="shared" si="47"/>
        <v>248643.68030019323</v>
      </c>
      <c r="T161" s="279">
        <f t="shared" si="47"/>
        <v>254968.51699213305</v>
      </c>
      <c r="U161" s="279">
        <f t="shared" si="47"/>
        <v>244958.87159664574</v>
      </c>
      <c r="V161" s="279">
        <f t="shared" si="47"/>
        <v>237364.46131237363</v>
      </c>
      <c r="W161" s="279">
        <f t="shared" si="47"/>
        <v>229578.48032241606</v>
      </c>
      <c r="X161" s="279">
        <f t="shared" si="47"/>
        <v>219944.97471265926</v>
      </c>
      <c r="Y161" s="279">
        <f t="shared" si="47"/>
        <v>210118.04149070743</v>
      </c>
      <c r="Z161" s="279">
        <f t="shared" si="47"/>
        <v>198496.76669919112</v>
      </c>
      <c r="AA161" s="279">
        <f t="shared" si="47"/>
        <v>-2.1827872842550277E-13</v>
      </c>
      <c r="AB161" s="279">
        <f t="shared" si="47"/>
        <v>0</v>
      </c>
      <c r="AC161" s="279">
        <f t="shared" si="47"/>
        <v>0</v>
      </c>
      <c r="AD161" s="279">
        <f t="shared" si="47"/>
        <v>0</v>
      </c>
      <c r="AE161" s="279">
        <f t="shared" si="47"/>
        <v>0</v>
      </c>
      <c r="AF161" s="279">
        <f t="shared" si="47"/>
        <v>0</v>
      </c>
      <c r="AG161" s="279">
        <f t="shared" si="47"/>
        <v>0</v>
      </c>
      <c r="AH161" s="279">
        <f t="shared" si="47"/>
        <v>0</v>
      </c>
      <c r="AI161" s="279">
        <f t="shared" si="47"/>
        <v>0</v>
      </c>
      <c r="AJ161" s="279">
        <f t="shared" si="47"/>
        <v>0</v>
      </c>
    </row>
    <row r="162" spans="2:36" ht="16">
      <c r="B162" s="259"/>
      <c r="C162" s="259"/>
      <c r="D162" s="259"/>
      <c r="E162" s="303"/>
      <c r="F162" s="303"/>
      <c r="G162" s="279"/>
      <c r="H162" s="279"/>
      <c r="I162" s="279"/>
      <c r="J162" s="279"/>
      <c r="K162" s="279"/>
      <c r="L162" s="279"/>
      <c r="M162" s="279"/>
      <c r="N162" s="279"/>
      <c r="O162" s="279"/>
      <c r="P162" s="279"/>
      <c r="Q162" s="279"/>
      <c r="R162" s="279"/>
      <c r="S162" s="279"/>
      <c r="T162" s="279"/>
      <c r="U162" s="279"/>
      <c r="V162" s="279"/>
      <c r="W162" s="279"/>
      <c r="X162" s="279"/>
      <c r="Y162" s="279"/>
      <c r="Z162" s="279"/>
      <c r="AA162" s="279"/>
      <c r="AB162" s="279"/>
      <c r="AC162" s="279"/>
      <c r="AD162" s="279"/>
      <c r="AE162" s="279"/>
      <c r="AF162" s="279"/>
      <c r="AG162" s="279"/>
      <c r="AH162" s="279"/>
      <c r="AI162" s="279"/>
      <c r="AJ162" s="279"/>
    </row>
    <row r="163" spans="2:36" ht="16">
      <c r="B163" s="346" t="s">
        <v>284</v>
      </c>
      <c r="C163" s="346"/>
      <c r="D163" s="346"/>
      <c r="E163" s="303"/>
      <c r="F163" s="303"/>
      <c r="G163" s="279"/>
      <c r="H163" s="279"/>
      <c r="I163" s="279"/>
      <c r="J163" s="279"/>
      <c r="K163" s="279"/>
      <c r="L163" s="279"/>
      <c r="M163" s="279"/>
      <c r="N163" s="279"/>
      <c r="O163" s="279"/>
      <c r="P163" s="279"/>
      <c r="Q163" s="279"/>
      <c r="R163" s="279"/>
      <c r="S163" s="279"/>
      <c r="T163" s="279"/>
      <c r="U163" s="279"/>
      <c r="V163" s="279"/>
      <c r="W163" s="279"/>
      <c r="X163" s="279"/>
      <c r="Y163" s="279"/>
      <c r="Z163" s="279"/>
      <c r="AA163" s="279"/>
      <c r="AB163" s="279"/>
      <c r="AC163" s="279"/>
      <c r="AD163" s="279"/>
      <c r="AE163" s="279"/>
      <c r="AF163" s="279"/>
      <c r="AG163" s="279"/>
      <c r="AH163" s="279"/>
      <c r="AI163" s="279"/>
      <c r="AJ163" s="279"/>
    </row>
    <row r="164" spans="2:36" ht="16">
      <c r="B164" s="259" t="s">
        <v>229</v>
      </c>
      <c r="C164" s="259"/>
      <c r="D164" s="259"/>
      <c r="E164" s="303"/>
      <c r="F164" s="303"/>
      <c r="G164" s="279">
        <v>0</v>
      </c>
      <c r="H164" s="279">
        <f>G167</f>
        <v>434348.04013264133</v>
      </c>
      <c r="I164" s="279">
        <f t="shared" ref="I164:AJ164" si="48">H167</f>
        <v>1295227.1320656105</v>
      </c>
      <c r="J164" s="279">
        <f t="shared" si="48"/>
        <v>1702546.8372749307</v>
      </c>
      <c r="K164" s="279">
        <f t="shared" si="48"/>
        <v>1836443.2142719461</v>
      </c>
      <c r="L164" s="279">
        <f t="shared" si="48"/>
        <v>1967243.6573004357</v>
      </c>
      <c r="M164" s="279">
        <f t="shared" si="48"/>
        <v>1891472.1888706151</v>
      </c>
      <c r="N164" s="279">
        <f t="shared" si="48"/>
        <v>1608819.1941011758</v>
      </c>
      <c r="O164" s="279">
        <f t="shared" si="48"/>
        <v>1321949.0839975332</v>
      </c>
      <c r="P164" s="279">
        <f t="shared" si="48"/>
        <v>1030362.7488924651</v>
      </c>
      <c r="Q164" s="279">
        <f t="shared" si="48"/>
        <v>733401.53731016791</v>
      </c>
      <c r="R164" s="279">
        <f t="shared" si="48"/>
        <v>496667.0533319636</v>
      </c>
      <c r="S164" s="279">
        <f t="shared" si="48"/>
        <v>254379.96751417202</v>
      </c>
      <c r="T164" s="279">
        <f t="shared" si="48"/>
        <v>5736.2872139787942</v>
      </c>
      <c r="U164" s="279">
        <f t="shared" si="48"/>
        <v>0</v>
      </c>
      <c r="V164" s="279">
        <f t="shared" si="48"/>
        <v>0</v>
      </c>
      <c r="W164" s="279">
        <f t="shared" si="48"/>
        <v>0</v>
      </c>
      <c r="X164" s="279">
        <f t="shared" si="48"/>
        <v>0</v>
      </c>
      <c r="Y164" s="279">
        <f t="shared" si="48"/>
        <v>0</v>
      </c>
      <c r="Z164" s="279">
        <f t="shared" si="48"/>
        <v>0</v>
      </c>
      <c r="AA164" s="279">
        <f t="shared" si="48"/>
        <v>0</v>
      </c>
      <c r="AB164" s="279">
        <f t="shared" si="48"/>
        <v>2.1827872842550277E-13</v>
      </c>
      <c r="AC164" s="279">
        <f t="shared" si="48"/>
        <v>2.1827872842550277E-13</v>
      </c>
      <c r="AD164" s="279">
        <f t="shared" si="48"/>
        <v>2.1827872842550277E-13</v>
      </c>
      <c r="AE164" s="279">
        <f t="shared" si="48"/>
        <v>2.1827872842550277E-13</v>
      </c>
      <c r="AF164" s="279">
        <f t="shared" si="48"/>
        <v>2.1827872842550277E-13</v>
      </c>
      <c r="AG164" s="279">
        <f t="shared" si="48"/>
        <v>2.1827872842550277E-13</v>
      </c>
      <c r="AH164" s="279">
        <f t="shared" si="48"/>
        <v>2.1827872842550277E-13</v>
      </c>
      <c r="AI164" s="279">
        <f t="shared" si="48"/>
        <v>2.1827872842550277E-13</v>
      </c>
      <c r="AJ164" s="279">
        <f t="shared" si="48"/>
        <v>2.1827872842550277E-13</v>
      </c>
    </row>
    <row r="165" spans="2:36" ht="16">
      <c r="B165" s="259" t="s">
        <v>230</v>
      </c>
      <c r="C165" s="259"/>
      <c r="D165" s="259"/>
      <c r="E165" s="303"/>
      <c r="F165" s="303"/>
      <c r="G165" s="279">
        <f>IF(G$161&gt;0,0,-G$161)</f>
        <v>434348.04013264133</v>
      </c>
      <c r="H165" s="279">
        <f t="shared" ref="H165:AJ165" si="49">IF(H$161&gt;0,0,-H$161)</f>
        <v>860879.09193296928</v>
      </c>
      <c r="I165" s="279">
        <f t="shared" si="49"/>
        <v>407319.70520932012</v>
      </c>
      <c r="J165" s="279">
        <f t="shared" si="49"/>
        <v>133896.37699701538</v>
      </c>
      <c r="K165" s="279">
        <f t="shared" si="49"/>
        <v>130800.44302848954</v>
      </c>
      <c r="L165" s="279">
        <f t="shared" si="49"/>
        <v>0</v>
      </c>
      <c r="M165" s="279">
        <f t="shared" si="49"/>
        <v>0</v>
      </c>
      <c r="N165" s="279">
        <f t="shared" si="49"/>
        <v>0</v>
      </c>
      <c r="O165" s="279">
        <f t="shared" si="49"/>
        <v>0</v>
      </c>
      <c r="P165" s="279">
        <f t="shared" si="49"/>
        <v>0</v>
      </c>
      <c r="Q165" s="279">
        <f t="shared" si="49"/>
        <v>0</v>
      </c>
      <c r="R165" s="279">
        <f t="shared" si="49"/>
        <v>0</v>
      </c>
      <c r="S165" s="279">
        <f t="shared" si="49"/>
        <v>0</v>
      </c>
      <c r="T165" s="279">
        <f t="shared" si="49"/>
        <v>0</v>
      </c>
      <c r="U165" s="279">
        <f t="shared" si="49"/>
        <v>0</v>
      </c>
      <c r="V165" s="279">
        <f t="shared" si="49"/>
        <v>0</v>
      </c>
      <c r="W165" s="279">
        <f t="shared" si="49"/>
        <v>0</v>
      </c>
      <c r="X165" s="279">
        <f t="shared" si="49"/>
        <v>0</v>
      </c>
      <c r="Y165" s="279">
        <f t="shared" si="49"/>
        <v>0</v>
      </c>
      <c r="Z165" s="279">
        <f t="shared" si="49"/>
        <v>0</v>
      </c>
      <c r="AA165" s="279">
        <f t="shared" si="49"/>
        <v>2.1827872842550277E-13</v>
      </c>
      <c r="AB165" s="279">
        <f t="shared" si="49"/>
        <v>0</v>
      </c>
      <c r="AC165" s="279">
        <f t="shared" si="49"/>
        <v>0</v>
      </c>
      <c r="AD165" s="279">
        <f t="shared" si="49"/>
        <v>0</v>
      </c>
      <c r="AE165" s="279">
        <f t="shared" si="49"/>
        <v>0</v>
      </c>
      <c r="AF165" s="279">
        <f t="shared" si="49"/>
        <v>0</v>
      </c>
      <c r="AG165" s="279">
        <f t="shared" si="49"/>
        <v>0</v>
      </c>
      <c r="AH165" s="279">
        <f t="shared" si="49"/>
        <v>0</v>
      </c>
      <c r="AI165" s="279">
        <f t="shared" si="49"/>
        <v>0</v>
      </c>
      <c r="AJ165" s="279">
        <f t="shared" si="49"/>
        <v>0</v>
      </c>
    </row>
    <row r="166" spans="2:36" ht="16">
      <c r="B166" s="259" t="s">
        <v>228</v>
      </c>
      <c r="C166" s="259"/>
      <c r="D166" s="259"/>
      <c r="E166" s="303"/>
      <c r="F166" s="303"/>
      <c r="G166" s="279">
        <f t="shared" ref="G166:L166" si="50">IF(G$161&lt;=0,0,-MIN(G$161,F$167))</f>
        <v>0</v>
      </c>
      <c r="H166" s="279">
        <f t="shared" si="50"/>
        <v>0</v>
      </c>
      <c r="I166" s="279">
        <f t="shared" si="50"/>
        <v>0</v>
      </c>
      <c r="J166" s="279">
        <f t="shared" si="50"/>
        <v>0</v>
      </c>
      <c r="K166" s="279">
        <f t="shared" si="50"/>
        <v>0</v>
      </c>
      <c r="L166" s="279">
        <f t="shared" si="50"/>
        <v>-75771.468429820612</v>
      </c>
      <c r="M166" s="279">
        <f>IF(M$161&lt;=0,0,-MIN(M$161,L$167))</f>
        <v>-282652.99476943922</v>
      </c>
      <c r="N166" s="279">
        <f t="shared" ref="N166:AJ166" si="51">IF(N$161&lt;=0,0,-MIN(N$161,M$167))</f>
        <v>-286870.11010364245</v>
      </c>
      <c r="O166" s="279">
        <f t="shared" si="51"/>
        <v>-291586.33510506799</v>
      </c>
      <c r="P166" s="279">
        <f t="shared" si="51"/>
        <v>-296961.21158229728</v>
      </c>
      <c r="Q166" s="279">
        <f t="shared" si="51"/>
        <v>-236734.48397820431</v>
      </c>
      <c r="R166" s="279">
        <f t="shared" si="51"/>
        <v>-242287.08581779158</v>
      </c>
      <c r="S166" s="279">
        <f t="shared" si="51"/>
        <v>-248643.68030019323</v>
      </c>
      <c r="T166" s="279">
        <f t="shared" si="51"/>
        <v>-5736.2872139787942</v>
      </c>
      <c r="U166" s="279">
        <f t="shared" si="51"/>
        <v>0</v>
      </c>
      <c r="V166" s="279">
        <f t="shared" si="51"/>
        <v>0</v>
      </c>
      <c r="W166" s="279">
        <f t="shared" si="51"/>
        <v>0</v>
      </c>
      <c r="X166" s="279">
        <f t="shared" si="51"/>
        <v>0</v>
      </c>
      <c r="Y166" s="279">
        <f t="shared" si="51"/>
        <v>0</v>
      </c>
      <c r="Z166" s="279">
        <f t="shared" si="51"/>
        <v>0</v>
      </c>
      <c r="AA166" s="279">
        <f t="shared" si="51"/>
        <v>0</v>
      </c>
      <c r="AB166" s="279">
        <f t="shared" si="51"/>
        <v>0</v>
      </c>
      <c r="AC166" s="279">
        <f t="shared" si="51"/>
        <v>0</v>
      </c>
      <c r="AD166" s="279">
        <f t="shared" si="51"/>
        <v>0</v>
      </c>
      <c r="AE166" s="279">
        <f t="shared" si="51"/>
        <v>0</v>
      </c>
      <c r="AF166" s="279">
        <f t="shared" si="51"/>
        <v>0</v>
      </c>
      <c r="AG166" s="279">
        <f t="shared" si="51"/>
        <v>0</v>
      </c>
      <c r="AH166" s="279">
        <f t="shared" si="51"/>
        <v>0</v>
      </c>
      <c r="AI166" s="279">
        <f t="shared" si="51"/>
        <v>0</v>
      </c>
      <c r="AJ166" s="279">
        <f t="shared" si="51"/>
        <v>0</v>
      </c>
    </row>
    <row r="167" spans="2:36" ht="16">
      <c r="B167" s="259" t="s">
        <v>231</v>
      </c>
      <c r="C167" s="259"/>
      <c r="D167" s="259"/>
      <c r="E167" s="303"/>
      <c r="F167" s="303"/>
      <c r="G167" s="279">
        <f>SUM(G164:G166)</f>
        <v>434348.04013264133</v>
      </c>
      <c r="H167" s="279">
        <f t="shared" ref="H167:AJ167" si="52">SUM(H164:H166)</f>
        <v>1295227.1320656105</v>
      </c>
      <c r="I167" s="279">
        <f t="shared" si="52"/>
        <v>1702546.8372749307</v>
      </c>
      <c r="J167" s="279">
        <f t="shared" si="52"/>
        <v>1836443.2142719461</v>
      </c>
      <c r="K167" s="279">
        <f t="shared" si="52"/>
        <v>1967243.6573004357</v>
      </c>
      <c r="L167" s="279">
        <f t="shared" si="52"/>
        <v>1891472.1888706151</v>
      </c>
      <c r="M167" s="279">
        <f t="shared" si="52"/>
        <v>1608819.1941011758</v>
      </c>
      <c r="N167" s="279">
        <f t="shared" si="52"/>
        <v>1321949.0839975332</v>
      </c>
      <c r="O167" s="279">
        <f t="shared" si="52"/>
        <v>1030362.7488924651</v>
      </c>
      <c r="P167" s="279">
        <f t="shared" si="52"/>
        <v>733401.53731016791</v>
      </c>
      <c r="Q167" s="279">
        <f t="shared" si="52"/>
        <v>496667.0533319636</v>
      </c>
      <c r="R167" s="279">
        <f t="shared" si="52"/>
        <v>254379.96751417202</v>
      </c>
      <c r="S167" s="279">
        <f t="shared" si="52"/>
        <v>5736.2872139787942</v>
      </c>
      <c r="T167" s="279">
        <f t="shared" si="52"/>
        <v>0</v>
      </c>
      <c r="U167" s="279">
        <f t="shared" si="52"/>
        <v>0</v>
      </c>
      <c r="V167" s="279">
        <f t="shared" si="52"/>
        <v>0</v>
      </c>
      <c r="W167" s="279">
        <f t="shared" si="52"/>
        <v>0</v>
      </c>
      <c r="X167" s="279">
        <f t="shared" si="52"/>
        <v>0</v>
      </c>
      <c r="Y167" s="279">
        <f t="shared" si="52"/>
        <v>0</v>
      </c>
      <c r="Z167" s="279">
        <f t="shared" si="52"/>
        <v>0</v>
      </c>
      <c r="AA167" s="279">
        <f t="shared" si="52"/>
        <v>2.1827872842550277E-13</v>
      </c>
      <c r="AB167" s="279">
        <f t="shared" si="52"/>
        <v>2.1827872842550277E-13</v>
      </c>
      <c r="AC167" s="279">
        <f t="shared" si="52"/>
        <v>2.1827872842550277E-13</v>
      </c>
      <c r="AD167" s="279">
        <f t="shared" si="52"/>
        <v>2.1827872842550277E-13</v>
      </c>
      <c r="AE167" s="279">
        <f t="shared" si="52"/>
        <v>2.1827872842550277E-13</v>
      </c>
      <c r="AF167" s="279">
        <f t="shared" si="52"/>
        <v>2.1827872842550277E-13</v>
      </c>
      <c r="AG167" s="279">
        <f t="shared" si="52"/>
        <v>2.1827872842550277E-13</v>
      </c>
      <c r="AH167" s="279">
        <f t="shared" si="52"/>
        <v>2.1827872842550277E-13</v>
      </c>
      <c r="AI167" s="279">
        <f t="shared" si="52"/>
        <v>2.1827872842550277E-13</v>
      </c>
      <c r="AJ167" s="279">
        <f t="shared" si="52"/>
        <v>2.1827872842550277E-13</v>
      </c>
    </row>
    <row r="168" spans="2:36" ht="16">
      <c r="B168" s="259"/>
      <c r="C168" s="259"/>
      <c r="D168" s="259"/>
      <c r="E168" s="303"/>
      <c r="F168" s="303"/>
      <c r="G168" s="303"/>
      <c r="H168" s="303"/>
      <c r="I168" s="303"/>
      <c r="J168" s="303"/>
      <c r="K168" s="303"/>
      <c r="L168" s="303"/>
      <c r="M168" s="303"/>
      <c r="N168" s="303"/>
      <c r="O168" s="303"/>
      <c r="P168" s="303"/>
      <c r="Q168" s="303"/>
      <c r="R168" s="303"/>
      <c r="S168" s="303"/>
      <c r="T168" s="303"/>
      <c r="U168" s="303"/>
      <c r="V168" s="303"/>
      <c r="W168" s="303"/>
      <c r="X168" s="303"/>
      <c r="Y168" s="303"/>
      <c r="Z168" s="303"/>
      <c r="AA168" s="303"/>
      <c r="AB168" s="303"/>
      <c r="AC168" s="303"/>
      <c r="AD168" s="303"/>
      <c r="AE168" s="303"/>
      <c r="AF168" s="303"/>
      <c r="AG168" s="303"/>
      <c r="AH168" s="303"/>
      <c r="AI168" s="303"/>
      <c r="AJ168" s="303"/>
    </row>
    <row r="169" spans="2:36" ht="16">
      <c r="B169" s="259" t="s">
        <v>232</v>
      </c>
      <c r="C169" s="259"/>
      <c r="D169" s="259"/>
      <c r="E169" s="303"/>
      <c r="F169" s="303"/>
      <c r="G169" s="279">
        <f>G161+G165+G166</f>
        <v>0</v>
      </c>
      <c r="H169" s="279">
        <f t="shared" ref="H169:AJ169" si="53">H161+H165+H166</f>
        <v>0</v>
      </c>
      <c r="I169" s="279">
        <f t="shared" si="53"/>
        <v>0</v>
      </c>
      <c r="J169" s="279">
        <f t="shared" si="53"/>
        <v>0</v>
      </c>
      <c r="K169" s="279">
        <f t="shared" si="53"/>
        <v>0</v>
      </c>
      <c r="L169" s="279">
        <f t="shared" si="53"/>
        <v>0</v>
      </c>
      <c r="M169" s="279">
        <f t="shared" si="53"/>
        <v>0</v>
      </c>
      <c r="N169" s="279">
        <f t="shared" si="53"/>
        <v>0</v>
      </c>
      <c r="O169" s="279">
        <f t="shared" si="53"/>
        <v>0</v>
      </c>
      <c r="P169" s="279">
        <f t="shared" si="53"/>
        <v>0</v>
      </c>
      <c r="Q169" s="279">
        <f t="shared" si="53"/>
        <v>0</v>
      </c>
      <c r="R169" s="279">
        <f t="shared" si="53"/>
        <v>0</v>
      </c>
      <c r="S169" s="279">
        <f t="shared" si="53"/>
        <v>0</v>
      </c>
      <c r="T169" s="279">
        <f t="shared" si="53"/>
        <v>249232.22977815426</v>
      </c>
      <c r="U169" s="279">
        <f t="shared" si="53"/>
        <v>244958.87159664574</v>
      </c>
      <c r="V169" s="279">
        <f t="shared" si="53"/>
        <v>237364.46131237363</v>
      </c>
      <c r="W169" s="279">
        <f t="shared" si="53"/>
        <v>229578.48032241606</v>
      </c>
      <c r="X169" s="279">
        <f t="shared" si="53"/>
        <v>219944.97471265926</v>
      </c>
      <c r="Y169" s="279">
        <f t="shared" si="53"/>
        <v>210118.04149070743</v>
      </c>
      <c r="Z169" s="279">
        <f t="shared" si="53"/>
        <v>198496.76669919112</v>
      </c>
      <c r="AA169" s="279">
        <f t="shared" si="53"/>
        <v>0</v>
      </c>
      <c r="AB169" s="279">
        <f t="shared" si="53"/>
        <v>0</v>
      </c>
      <c r="AC169" s="279">
        <f t="shared" si="53"/>
        <v>0</v>
      </c>
      <c r="AD169" s="279">
        <f t="shared" si="53"/>
        <v>0</v>
      </c>
      <c r="AE169" s="279">
        <f t="shared" si="53"/>
        <v>0</v>
      </c>
      <c r="AF169" s="279">
        <f t="shared" si="53"/>
        <v>0</v>
      </c>
      <c r="AG169" s="279">
        <f t="shared" si="53"/>
        <v>0</v>
      </c>
      <c r="AH169" s="279">
        <f t="shared" si="53"/>
        <v>0</v>
      </c>
      <c r="AI169" s="279">
        <f t="shared" si="53"/>
        <v>0</v>
      </c>
      <c r="AJ169" s="279">
        <f t="shared" si="53"/>
        <v>0</v>
      </c>
    </row>
    <row r="170" spans="2:36" ht="16">
      <c r="B170" s="259"/>
      <c r="C170" s="259"/>
      <c r="D170" s="259"/>
      <c r="E170" s="303"/>
      <c r="F170" s="303"/>
      <c r="G170" s="279"/>
      <c r="H170" s="279"/>
      <c r="I170" s="279"/>
      <c r="J170" s="279"/>
      <c r="K170" s="279"/>
      <c r="L170" s="279"/>
      <c r="M170" s="279"/>
      <c r="N170" s="279"/>
      <c r="O170" s="279"/>
      <c r="P170" s="279"/>
      <c r="Q170" s="279"/>
      <c r="R170" s="279"/>
      <c r="S170" s="279"/>
      <c r="T170" s="279"/>
      <c r="U170" s="279"/>
      <c r="V170" s="279"/>
      <c r="W170" s="279"/>
      <c r="X170" s="279"/>
      <c r="Y170" s="279"/>
      <c r="Z170" s="279"/>
      <c r="AA170" s="279"/>
      <c r="AB170" s="279"/>
      <c r="AC170" s="279"/>
      <c r="AD170" s="279"/>
      <c r="AE170" s="279"/>
      <c r="AF170" s="279"/>
      <c r="AG170" s="279"/>
      <c r="AH170" s="279"/>
      <c r="AI170" s="279"/>
      <c r="AJ170" s="279"/>
    </row>
    <row r="171" spans="2:36" ht="16">
      <c r="B171" s="346" t="s">
        <v>285</v>
      </c>
      <c r="C171" s="346"/>
      <c r="D171" s="346"/>
      <c r="E171" s="303"/>
      <c r="F171" s="303"/>
      <c r="G171" s="279"/>
      <c r="H171" s="279"/>
      <c r="I171" s="279"/>
      <c r="J171" s="279"/>
      <c r="K171" s="279"/>
      <c r="L171" s="279"/>
      <c r="M171" s="279"/>
      <c r="N171" s="279"/>
      <c r="O171" s="279"/>
      <c r="P171" s="279"/>
      <c r="Q171" s="279"/>
      <c r="R171" s="279"/>
      <c r="S171" s="279"/>
      <c r="T171" s="279"/>
      <c r="U171" s="279"/>
      <c r="V171" s="279"/>
      <c r="W171" s="279"/>
      <c r="X171" s="279"/>
      <c r="Y171" s="279"/>
      <c r="Z171" s="279"/>
      <c r="AA171" s="279"/>
      <c r="AB171" s="279"/>
      <c r="AC171" s="279"/>
      <c r="AD171" s="279"/>
      <c r="AE171" s="279"/>
      <c r="AF171" s="279"/>
      <c r="AG171" s="279"/>
      <c r="AH171" s="279"/>
      <c r="AI171" s="279"/>
      <c r="AJ171" s="279"/>
    </row>
    <row r="172" spans="2:36" ht="16">
      <c r="B172" s="259" t="s">
        <v>229</v>
      </c>
      <c r="C172" s="259"/>
      <c r="D172" s="259"/>
      <c r="E172" s="303"/>
      <c r="F172" s="303"/>
      <c r="G172" s="279">
        <v>0</v>
      </c>
      <c r="H172" s="279">
        <f>G175</f>
        <v>434348.04013264133</v>
      </c>
      <c r="I172" s="279">
        <f t="shared" ref="I172:AJ172" si="54">H175</f>
        <v>1295227.1320656105</v>
      </c>
      <c r="J172" s="279">
        <f t="shared" si="54"/>
        <v>1702546.8372749307</v>
      </c>
      <c r="K172" s="279">
        <f t="shared" si="54"/>
        <v>1836443.2142719461</v>
      </c>
      <c r="L172" s="279">
        <f t="shared" si="54"/>
        <v>1967243.6573004357</v>
      </c>
      <c r="M172" s="279">
        <f t="shared" si="54"/>
        <v>1891472.1888706151</v>
      </c>
      <c r="N172" s="279">
        <f t="shared" si="54"/>
        <v>1608819.1941011758</v>
      </c>
      <c r="O172" s="279">
        <f t="shared" si="54"/>
        <v>1321949.0839975332</v>
      </c>
      <c r="P172" s="279">
        <f t="shared" si="54"/>
        <v>1030362.7488924651</v>
      </c>
      <c r="Q172" s="279">
        <f t="shared" si="54"/>
        <v>733401.53731016791</v>
      </c>
      <c r="R172" s="279">
        <f t="shared" si="54"/>
        <v>496667.0533319636</v>
      </c>
      <c r="S172" s="279">
        <f t="shared" si="54"/>
        <v>254379.96751417202</v>
      </c>
      <c r="T172" s="279">
        <f t="shared" si="54"/>
        <v>5736.2872139787942</v>
      </c>
      <c r="U172" s="279">
        <f t="shared" si="54"/>
        <v>0</v>
      </c>
      <c r="V172" s="279">
        <f t="shared" si="54"/>
        <v>0</v>
      </c>
      <c r="W172" s="279">
        <f t="shared" si="54"/>
        <v>0</v>
      </c>
      <c r="X172" s="279">
        <f t="shared" si="54"/>
        <v>0</v>
      </c>
      <c r="Y172" s="279">
        <f t="shared" si="54"/>
        <v>0</v>
      </c>
      <c r="Z172" s="279">
        <f t="shared" si="54"/>
        <v>0</v>
      </c>
      <c r="AA172" s="279">
        <f t="shared" si="54"/>
        <v>0</v>
      </c>
      <c r="AB172" s="279">
        <f t="shared" si="54"/>
        <v>2.1827872842550277E-13</v>
      </c>
      <c r="AC172" s="279">
        <f t="shared" si="54"/>
        <v>2.1827872842550277E-13</v>
      </c>
      <c r="AD172" s="279">
        <f t="shared" si="54"/>
        <v>2.1827872842550277E-13</v>
      </c>
      <c r="AE172" s="279">
        <f t="shared" si="54"/>
        <v>2.1827872842550277E-13</v>
      </c>
      <c r="AF172" s="279">
        <f t="shared" si="54"/>
        <v>2.1827872842550277E-13</v>
      </c>
      <c r="AG172" s="279">
        <f t="shared" si="54"/>
        <v>2.1827872842550277E-13</v>
      </c>
      <c r="AH172" s="279">
        <f t="shared" si="54"/>
        <v>2.1827872842550277E-13</v>
      </c>
      <c r="AI172" s="279">
        <f t="shared" si="54"/>
        <v>2.1827872842550277E-13</v>
      </c>
      <c r="AJ172" s="279">
        <f t="shared" si="54"/>
        <v>2.1827872842550277E-13</v>
      </c>
    </row>
    <row r="173" spans="2:36" ht="16">
      <c r="B173" s="259" t="s">
        <v>230</v>
      </c>
      <c r="C173" s="259"/>
      <c r="D173" s="259"/>
      <c r="E173" s="303"/>
      <c r="F173" s="303"/>
      <c r="G173" s="279">
        <f>IF(G$161&gt;0,0,-G$161)</f>
        <v>434348.04013264133</v>
      </c>
      <c r="H173" s="279">
        <f t="shared" ref="H173:AJ173" si="55">IF(H$161&gt;0,0,-H$161)</f>
        <v>860879.09193296928</v>
      </c>
      <c r="I173" s="279">
        <f t="shared" si="55"/>
        <v>407319.70520932012</v>
      </c>
      <c r="J173" s="279">
        <f t="shared" si="55"/>
        <v>133896.37699701538</v>
      </c>
      <c r="K173" s="279">
        <f t="shared" si="55"/>
        <v>130800.44302848954</v>
      </c>
      <c r="L173" s="279">
        <f t="shared" si="55"/>
        <v>0</v>
      </c>
      <c r="M173" s="279">
        <f t="shared" si="55"/>
        <v>0</v>
      </c>
      <c r="N173" s="279">
        <f t="shared" si="55"/>
        <v>0</v>
      </c>
      <c r="O173" s="279">
        <f t="shared" si="55"/>
        <v>0</v>
      </c>
      <c r="P173" s="279">
        <f t="shared" si="55"/>
        <v>0</v>
      </c>
      <c r="Q173" s="279">
        <f t="shared" si="55"/>
        <v>0</v>
      </c>
      <c r="R173" s="279">
        <f t="shared" si="55"/>
        <v>0</v>
      </c>
      <c r="S173" s="279">
        <f t="shared" si="55"/>
        <v>0</v>
      </c>
      <c r="T173" s="279">
        <f t="shared" si="55"/>
        <v>0</v>
      </c>
      <c r="U173" s="279">
        <f t="shared" si="55"/>
        <v>0</v>
      </c>
      <c r="V173" s="279">
        <f t="shared" si="55"/>
        <v>0</v>
      </c>
      <c r="W173" s="279">
        <f t="shared" si="55"/>
        <v>0</v>
      </c>
      <c r="X173" s="279">
        <f t="shared" si="55"/>
        <v>0</v>
      </c>
      <c r="Y173" s="279">
        <f t="shared" si="55"/>
        <v>0</v>
      </c>
      <c r="Z173" s="279">
        <f t="shared" si="55"/>
        <v>0</v>
      </c>
      <c r="AA173" s="279">
        <f t="shared" si="55"/>
        <v>2.1827872842550277E-13</v>
      </c>
      <c r="AB173" s="279">
        <f t="shared" si="55"/>
        <v>0</v>
      </c>
      <c r="AC173" s="279">
        <f t="shared" si="55"/>
        <v>0</v>
      </c>
      <c r="AD173" s="279">
        <f t="shared" si="55"/>
        <v>0</v>
      </c>
      <c r="AE173" s="279">
        <f t="shared" si="55"/>
        <v>0</v>
      </c>
      <c r="AF173" s="279">
        <f t="shared" si="55"/>
        <v>0</v>
      </c>
      <c r="AG173" s="279">
        <f t="shared" si="55"/>
        <v>0</v>
      </c>
      <c r="AH173" s="279">
        <f t="shared" si="55"/>
        <v>0</v>
      </c>
      <c r="AI173" s="279">
        <f t="shared" si="55"/>
        <v>0</v>
      </c>
      <c r="AJ173" s="279">
        <f t="shared" si="55"/>
        <v>0</v>
      </c>
    </row>
    <row r="174" spans="2:36" ht="16">
      <c r="B174" s="259" t="s">
        <v>228</v>
      </c>
      <c r="C174" s="259"/>
      <c r="D174" s="259"/>
      <c r="E174" s="303"/>
      <c r="F174" s="303"/>
      <c r="G174" s="279">
        <f t="shared" ref="G174:AJ174" si="56">IF(G$161&lt;=0,0,-MIN(G$161,F$167))</f>
        <v>0</v>
      </c>
      <c r="H174" s="279">
        <f t="shared" si="56"/>
        <v>0</v>
      </c>
      <c r="I174" s="279">
        <f t="shared" si="56"/>
        <v>0</v>
      </c>
      <c r="J174" s="279">
        <f t="shared" si="56"/>
        <v>0</v>
      </c>
      <c r="K174" s="279">
        <f t="shared" si="56"/>
        <v>0</v>
      </c>
      <c r="L174" s="279">
        <f t="shared" si="56"/>
        <v>-75771.468429820612</v>
      </c>
      <c r="M174" s="279">
        <f t="shared" si="56"/>
        <v>-282652.99476943922</v>
      </c>
      <c r="N174" s="279">
        <f t="shared" si="56"/>
        <v>-286870.11010364245</v>
      </c>
      <c r="O174" s="279">
        <f t="shared" si="56"/>
        <v>-291586.33510506799</v>
      </c>
      <c r="P174" s="279">
        <f t="shared" si="56"/>
        <v>-296961.21158229728</v>
      </c>
      <c r="Q174" s="279">
        <f t="shared" si="56"/>
        <v>-236734.48397820431</v>
      </c>
      <c r="R174" s="279">
        <f t="shared" si="56"/>
        <v>-242287.08581779158</v>
      </c>
      <c r="S174" s="279">
        <f t="shared" si="56"/>
        <v>-248643.68030019323</v>
      </c>
      <c r="T174" s="279">
        <f t="shared" si="56"/>
        <v>-5736.2872139787942</v>
      </c>
      <c r="U174" s="279">
        <f t="shared" si="56"/>
        <v>0</v>
      </c>
      <c r="V174" s="279">
        <f t="shared" si="56"/>
        <v>0</v>
      </c>
      <c r="W174" s="279">
        <f t="shared" si="56"/>
        <v>0</v>
      </c>
      <c r="X174" s="279">
        <f t="shared" si="56"/>
        <v>0</v>
      </c>
      <c r="Y174" s="279">
        <f t="shared" si="56"/>
        <v>0</v>
      </c>
      <c r="Z174" s="279">
        <f t="shared" si="56"/>
        <v>0</v>
      </c>
      <c r="AA174" s="279">
        <f t="shared" si="56"/>
        <v>0</v>
      </c>
      <c r="AB174" s="279">
        <f t="shared" si="56"/>
        <v>0</v>
      </c>
      <c r="AC174" s="279">
        <f t="shared" si="56"/>
        <v>0</v>
      </c>
      <c r="AD174" s="279">
        <f t="shared" si="56"/>
        <v>0</v>
      </c>
      <c r="AE174" s="279">
        <f t="shared" si="56"/>
        <v>0</v>
      </c>
      <c r="AF174" s="279">
        <f t="shared" si="56"/>
        <v>0</v>
      </c>
      <c r="AG174" s="279">
        <f t="shared" si="56"/>
        <v>0</v>
      </c>
      <c r="AH174" s="279">
        <f t="shared" si="56"/>
        <v>0</v>
      </c>
      <c r="AI174" s="279">
        <f t="shared" si="56"/>
        <v>0</v>
      </c>
      <c r="AJ174" s="279">
        <f t="shared" si="56"/>
        <v>0</v>
      </c>
    </row>
    <row r="175" spans="2:36" ht="16">
      <c r="B175" s="259" t="s">
        <v>231</v>
      </c>
      <c r="C175" s="259"/>
      <c r="D175" s="259"/>
      <c r="E175" s="303"/>
      <c r="F175" s="303"/>
      <c r="G175" s="279">
        <f>SUM(G172:G174)</f>
        <v>434348.04013264133</v>
      </c>
      <c r="H175" s="279">
        <f t="shared" ref="H175:AJ175" si="57">SUM(H172:H174)</f>
        <v>1295227.1320656105</v>
      </c>
      <c r="I175" s="279">
        <f t="shared" si="57"/>
        <v>1702546.8372749307</v>
      </c>
      <c r="J175" s="279">
        <f t="shared" si="57"/>
        <v>1836443.2142719461</v>
      </c>
      <c r="K175" s="279">
        <f t="shared" si="57"/>
        <v>1967243.6573004357</v>
      </c>
      <c r="L175" s="279">
        <f t="shared" si="57"/>
        <v>1891472.1888706151</v>
      </c>
      <c r="M175" s="279">
        <f t="shared" si="57"/>
        <v>1608819.1941011758</v>
      </c>
      <c r="N175" s="279">
        <f t="shared" si="57"/>
        <v>1321949.0839975332</v>
      </c>
      <c r="O175" s="279">
        <f t="shared" si="57"/>
        <v>1030362.7488924651</v>
      </c>
      <c r="P175" s="279">
        <f t="shared" si="57"/>
        <v>733401.53731016791</v>
      </c>
      <c r="Q175" s="279">
        <f t="shared" si="57"/>
        <v>496667.0533319636</v>
      </c>
      <c r="R175" s="279">
        <f t="shared" si="57"/>
        <v>254379.96751417202</v>
      </c>
      <c r="S175" s="279">
        <f t="shared" si="57"/>
        <v>5736.2872139787942</v>
      </c>
      <c r="T175" s="279">
        <f t="shared" si="57"/>
        <v>0</v>
      </c>
      <c r="U175" s="279">
        <f t="shared" si="57"/>
        <v>0</v>
      </c>
      <c r="V175" s="279">
        <f t="shared" si="57"/>
        <v>0</v>
      </c>
      <c r="W175" s="279">
        <f t="shared" si="57"/>
        <v>0</v>
      </c>
      <c r="X175" s="279">
        <f t="shared" si="57"/>
        <v>0</v>
      </c>
      <c r="Y175" s="279">
        <f t="shared" si="57"/>
        <v>0</v>
      </c>
      <c r="Z175" s="279">
        <f t="shared" si="57"/>
        <v>0</v>
      </c>
      <c r="AA175" s="279">
        <f t="shared" si="57"/>
        <v>2.1827872842550277E-13</v>
      </c>
      <c r="AB175" s="279">
        <f t="shared" si="57"/>
        <v>2.1827872842550277E-13</v>
      </c>
      <c r="AC175" s="279">
        <f t="shared" si="57"/>
        <v>2.1827872842550277E-13</v>
      </c>
      <c r="AD175" s="279">
        <f t="shared" si="57"/>
        <v>2.1827872842550277E-13</v>
      </c>
      <c r="AE175" s="279">
        <f t="shared" si="57"/>
        <v>2.1827872842550277E-13</v>
      </c>
      <c r="AF175" s="279">
        <f t="shared" si="57"/>
        <v>2.1827872842550277E-13</v>
      </c>
      <c r="AG175" s="279">
        <f t="shared" si="57"/>
        <v>2.1827872842550277E-13</v>
      </c>
      <c r="AH175" s="279">
        <f t="shared" si="57"/>
        <v>2.1827872842550277E-13</v>
      </c>
      <c r="AI175" s="279">
        <f t="shared" si="57"/>
        <v>2.1827872842550277E-13</v>
      </c>
      <c r="AJ175" s="279">
        <f t="shared" si="57"/>
        <v>2.1827872842550277E-13</v>
      </c>
    </row>
    <row r="176" spans="2:36" ht="16">
      <c r="B176" s="259"/>
      <c r="C176" s="259"/>
      <c r="D176" s="259"/>
      <c r="E176" s="303"/>
      <c r="F176" s="303"/>
      <c r="G176" s="303"/>
      <c r="H176" s="303"/>
      <c r="I176" s="303"/>
      <c r="J176" s="303"/>
      <c r="K176" s="303"/>
      <c r="L176" s="303"/>
      <c r="M176" s="303"/>
      <c r="N176" s="303"/>
      <c r="O176" s="303"/>
      <c r="P176" s="303"/>
      <c r="Q176" s="303"/>
      <c r="R176" s="303"/>
      <c r="S176" s="303"/>
      <c r="T176" s="303"/>
      <c r="U176" s="303"/>
      <c r="V176" s="303"/>
      <c r="W176" s="303"/>
      <c r="X176" s="303"/>
      <c r="Y176" s="303"/>
      <c r="Z176" s="303"/>
      <c r="AA176" s="303"/>
      <c r="AB176" s="303"/>
      <c r="AC176" s="303"/>
      <c r="AD176" s="303"/>
      <c r="AE176" s="303"/>
      <c r="AF176" s="303"/>
      <c r="AG176" s="303"/>
      <c r="AH176" s="303"/>
      <c r="AI176" s="303"/>
      <c r="AJ176" s="303"/>
    </row>
    <row r="177" spans="2:36" ht="16">
      <c r="B177" s="259" t="s">
        <v>232</v>
      </c>
      <c r="C177" s="259"/>
      <c r="D177" s="259"/>
      <c r="E177" s="303"/>
      <c r="F177" s="303"/>
      <c r="G177" s="279">
        <f>G161+G173+G174</f>
        <v>0</v>
      </c>
      <c r="H177" s="279">
        <f t="shared" ref="H177:AJ177" si="58">H161+H173+H174</f>
        <v>0</v>
      </c>
      <c r="I177" s="279">
        <f t="shared" si="58"/>
        <v>0</v>
      </c>
      <c r="J177" s="279">
        <f t="shared" si="58"/>
        <v>0</v>
      </c>
      <c r="K177" s="279">
        <f t="shared" si="58"/>
        <v>0</v>
      </c>
      <c r="L177" s="279">
        <f t="shared" si="58"/>
        <v>0</v>
      </c>
      <c r="M177" s="279">
        <f t="shared" si="58"/>
        <v>0</v>
      </c>
      <c r="N177" s="279">
        <f t="shared" si="58"/>
        <v>0</v>
      </c>
      <c r="O177" s="279">
        <f t="shared" si="58"/>
        <v>0</v>
      </c>
      <c r="P177" s="279">
        <f t="shared" si="58"/>
        <v>0</v>
      </c>
      <c r="Q177" s="279">
        <f t="shared" si="58"/>
        <v>0</v>
      </c>
      <c r="R177" s="279">
        <f t="shared" si="58"/>
        <v>0</v>
      </c>
      <c r="S177" s="279">
        <f t="shared" si="58"/>
        <v>0</v>
      </c>
      <c r="T177" s="279">
        <f t="shared" si="58"/>
        <v>249232.22977815426</v>
      </c>
      <c r="U177" s="279">
        <f t="shared" si="58"/>
        <v>244958.87159664574</v>
      </c>
      <c r="V177" s="279">
        <f t="shared" si="58"/>
        <v>237364.46131237363</v>
      </c>
      <c r="W177" s="279">
        <f t="shared" si="58"/>
        <v>229578.48032241606</v>
      </c>
      <c r="X177" s="279">
        <f t="shared" si="58"/>
        <v>219944.97471265926</v>
      </c>
      <c r="Y177" s="279">
        <f t="shared" si="58"/>
        <v>210118.04149070743</v>
      </c>
      <c r="Z177" s="279">
        <f t="shared" si="58"/>
        <v>198496.76669919112</v>
      </c>
      <c r="AA177" s="279">
        <f t="shared" si="58"/>
        <v>0</v>
      </c>
      <c r="AB177" s="279">
        <f t="shared" si="58"/>
        <v>0</v>
      </c>
      <c r="AC177" s="279">
        <f t="shared" si="58"/>
        <v>0</v>
      </c>
      <c r="AD177" s="279">
        <f t="shared" si="58"/>
        <v>0</v>
      </c>
      <c r="AE177" s="279">
        <f t="shared" si="58"/>
        <v>0</v>
      </c>
      <c r="AF177" s="279">
        <f t="shared" si="58"/>
        <v>0</v>
      </c>
      <c r="AG177" s="279">
        <f t="shared" si="58"/>
        <v>0</v>
      </c>
      <c r="AH177" s="279">
        <f t="shared" si="58"/>
        <v>0</v>
      </c>
      <c r="AI177" s="279">
        <f t="shared" si="58"/>
        <v>0</v>
      </c>
      <c r="AJ177" s="279">
        <f t="shared" si="58"/>
        <v>0</v>
      </c>
    </row>
    <row r="178" spans="2:36" ht="16" thickBot="1">
      <c r="B178" s="305"/>
      <c r="C178" s="305"/>
      <c r="D178" s="305"/>
      <c r="E178" s="305"/>
      <c r="F178" s="305"/>
      <c r="G178" s="305"/>
      <c r="H178" s="305"/>
      <c r="I178" s="305"/>
      <c r="J178" s="305"/>
      <c r="K178" s="305"/>
      <c r="L178" s="305"/>
      <c r="M178" s="305"/>
      <c r="N178" s="305"/>
      <c r="O178" s="305"/>
      <c r="P178" s="305"/>
      <c r="Q178" s="305"/>
      <c r="R178" s="305"/>
      <c r="S178" s="305"/>
      <c r="T178" s="305"/>
      <c r="U178" s="305"/>
      <c r="V178" s="305"/>
      <c r="W178" s="305"/>
      <c r="X178" s="305"/>
      <c r="Y178" s="305"/>
      <c r="Z178" s="305"/>
      <c r="AA178" s="305"/>
      <c r="AB178" s="305"/>
      <c r="AC178" s="305"/>
      <c r="AD178" s="305"/>
      <c r="AE178" s="305"/>
      <c r="AF178" s="305"/>
      <c r="AG178" s="305"/>
      <c r="AH178" s="305"/>
      <c r="AI178" s="305"/>
      <c r="AJ178" s="305"/>
    </row>
    <row r="179" spans="2:36" s="29" customFormat="1" ht="16">
      <c r="B179" s="259"/>
      <c r="C179" s="259"/>
      <c r="D179" s="259"/>
      <c r="E179" s="259"/>
      <c r="F179" s="274"/>
      <c r="G179" s="284"/>
      <c r="H179" s="285"/>
      <c r="I179" s="259"/>
      <c r="J179" s="259"/>
      <c r="K179" s="259"/>
      <c r="L179" s="259"/>
      <c r="M179" s="259"/>
      <c r="N179" s="259"/>
      <c r="O179" s="259"/>
      <c r="P179" s="259"/>
      <c r="Q179" s="259"/>
      <c r="R179" s="259"/>
      <c r="S179" s="259"/>
      <c r="T179" s="259"/>
      <c r="U179" s="259"/>
      <c r="V179" s="259"/>
      <c r="W179" s="259"/>
      <c r="X179" s="259"/>
      <c r="Y179" s="259"/>
      <c r="Z179" s="259"/>
      <c r="AA179" s="259"/>
      <c r="AB179" s="259"/>
      <c r="AC179" s="259"/>
      <c r="AD179" s="259"/>
      <c r="AE179" s="259"/>
      <c r="AF179" s="259"/>
      <c r="AG179" s="259"/>
      <c r="AH179" s="259"/>
      <c r="AI179" s="259"/>
      <c r="AJ179" s="259"/>
    </row>
    <row r="180" spans="2:36" s="29" customFormat="1" ht="16">
      <c r="B180" s="258" t="s">
        <v>234</v>
      </c>
      <c r="C180" s="258"/>
      <c r="D180" s="258"/>
      <c r="E180" s="259"/>
      <c r="F180" s="274"/>
      <c r="G180" s="284"/>
      <c r="H180" s="285"/>
      <c r="I180" s="259"/>
      <c r="J180" s="259"/>
      <c r="K180" s="259"/>
      <c r="L180" s="259"/>
      <c r="M180" s="259"/>
      <c r="N180" s="259"/>
      <c r="O180" s="259"/>
      <c r="P180" s="259"/>
      <c r="Q180" s="259"/>
      <c r="R180" s="259"/>
      <c r="S180" s="259"/>
      <c r="T180" s="259"/>
      <c r="U180" s="259"/>
      <c r="V180" s="259"/>
      <c r="W180" s="259"/>
      <c r="X180" s="259"/>
      <c r="Y180" s="259"/>
      <c r="Z180" s="259"/>
      <c r="AA180" s="259"/>
      <c r="AB180" s="259"/>
      <c r="AC180" s="259"/>
      <c r="AD180" s="259"/>
      <c r="AE180" s="259"/>
      <c r="AF180" s="259"/>
      <c r="AG180" s="259"/>
      <c r="AH180" s="259"/>
      <c r="AI180" s="259"/>
      <c r="AJ180" s="259"/>
    </row>
    <row r="181" spans="2:36" s="29" customFormat="1" ht="16">
      <c r="B181" s="259" t="s">
        <v>235</v>
      </c>
      <c r="C181" s="259"/>
      <c r="D181" s="259"/>
      <c r="E181" s="259"/>
      <c r="F181" s="274"/>
      <c r="G181" s="345">
        <f>IF(OR(Inputs!$G$84="No",Inputs!$Q$33="Performance-Based",Inputs!$Q$33="Neither"),0,IF(AND(Inputs!$Q$34="ITC",G$2=1),Inputs!$Q$37,IF(G$2&gt;1,0,IF(Inputs!$Q$34="Cash Grant",0,"ERROR"))))</f>
        <v>0</v>
      </c>
      <c r="H181" s="345">
        <f>IF(OR(Inputs!$G$84="No",Inputs!$Q$33="Performance-Based",Inputs!$Q$33="Neither"),0,IF(AND(Inputs!$Q$34="ITC",H$2=1),Inputs!$Q$37,IF(H$2&gt;1,0,IF(Inputs!$Q$34="Cash Grant",0,"ERROR"))))</f>
        <v>0</v>
      </c>
      <c r="I181" s="345">
        <f>IF(OR(Inputs!$G$84="No",Inputs!$Q$33="Performance-Based",Inputs!$Q$33="Neither"),0,IF(AND(Inputs!$Q$34="ITC",I$2=1),Inputs!$Q$37,IF(I$2&gt;1,0,IF(Inputs!$Q$34="Cash Grant",0,"ERROR"))))</f>
        <v>0</v>
      </c>
      <c r="J181" s="345">
        <f>IF(OR(Inputs!$G$84="No",Inputs!$Q$33="Performance-Based",Inputs!$Q$33="Neither"),0,IF(AND(Inputs!$Q$34="ITC",J$2=1),Inputs!$Q$37,IF(J$2&gt;1,0,IF(Inputs!$Q$34="Cash Grant",0,"ERROR"))))</f>
        <v>0</v>
      </c>
      <c r="K181" s="345">
        <f>IF(OR(Inputs!$G$84="No",Inputs!$Q$33="Performance-Based",Inputs!$Q$33="Neither"),0,IF(AND(Inputs!$Q$34="ITC",K$2=1),Inputs!$Q$37,IF(K$2&gt;1,0,IF(Inputs!$Q$34="Cash Grant",0,"ERROR"))))</f>
        <v>0</v>
      </c>
      <c r="L181" s="345">
        <f>IF(OR(Inputs!$G$84="No",Inputs!$Q$33="Performance-Based",Inputs!$Q$33="Neither"),0,IF(AND(Inputs!$Q$34="ITC",L$2=1),Inputs!$Q$37,IF(L$2&gt;1,0,IF(Inputs!$Q$34="Cash Grant",0,"ERROR"))))</f>
        <v>0</v>
      </c>
      <c r="M181" s="345">
        <f>IF(OR(Inputs!$G$84="No",Inputs!$Q$33="Performance-Based",Inputs!$Q$33="Neither"),0,IF(AND(Inputs!$Q$34="ITC",M$2=1),Inputs!$Q$37,IF(M$2&gt;1,0,IF(Inputs!$Q$34="Cash Grant",0,"ERROR"))))</f>
        <v>0</v>
      </c>
      <c r="N181" s="345">
        <f>IF(OR(Inputs!$G$84="No",Inputs!$Q$33="Performance-Based",Inputs!$Q$33="Neither"),0,IF(AND(Inputs!$Q$34="ITC",N$2=1),Inputs!$Q$37,IF(N$2&gt;1,0,IF(Inputs!$Q$34="Cash Grant",0,"ERROR"))))</f>
        <v>0</v>
      </c>
      <c r="O181" s="345">
        <f>IF(OR(Inputs!$G$84="No",Inputs!$Q$33="Performance-Based",Inputs!$Q$33="Neither"),0,IF(AND(Inputs!$Q$34="ITC",O$2=1),Inputs!$Q$37,IF(O$2&gt;1,0,IF(Inputs!$Q$34="Cash Grant",0,"ERROR"))))</f>
        <v>0</v>
      </c>
      <c r="P181" s="345">
        <f>IF(OR(Inputs!$G$84="No",Inputs!$Q$33="Performance-Based",Inputs!$Q$33="Neither"),0,IF(AND(Inputs!$Q$34="ITC",P$2=1),Inputs!$Q$37,IF(P$2&gt;1,0,IF(Inputs!$Q$34="Cash Grant",0,"ERROR"))))</f>
        <v>0</v>
      </c>
      <c r="Q181" s="345">
        <f>IF(OR(Inputs!$G$84="No",Inputs!$Q$33="Performance-Based",Inputs!$Q$33="Neither"),0,IF(AND(Inputs!$Q$34="ITC",Q$2=1),Inputs!$Q$37,IF(Q$2&gt;1,0,IF(Inputs!$Q$34="Cash Grant",0,"ERROR"))))</f>
        <v>0</v>
      </c>
      <c r="R181" s="345">
        <f>IF(OR(Inputs!$G$84="No",Inputs!$Q$33="Performance-Based",Inputs!$Q$33="Neither"),0,IF(AND(Inputs!$Q$34="ITC",R$2=1),Inputs!$Q$37,IF(R$2&gt;1,0,IF(Inputs!$Q$34="Cash Grant",0,"ERROR"))))</f>
        <v>0</v>
      </c>
      <c r="S181" s="345">
        <f>IF(OR(Inputs!$G$84="No",Inputs!$Q$33="Performance-Based",Inputs!$Q$33="Neither"),0,IF(AND(Inputs!$Q$34="ITC",S$2=1),Inputs!$Q$37,IF(S$2&gt;1,0,IF(Inputs!$Q$34="Cash Grant",0,"ERROR"))))</f>
        <v>0</v>
      </c>
      <c r="T181" s="345">
        <f>IF(OR(Inputs!$G$84="No",Inputs!$Q$33="Performance-Based",Inputs!$Q$33="Neither"),0,IF(AND(Inputs!$Q$34="ITC",T$2=1),Inputs!$Q$37,IF(T$2&gt;1,0,IF(Inputs!$Q$34="Cash Grant",0,"ERROR"))))</f>
        <v>0</v>
      </c>
      <c r="U181" s="345">
        <f>IF(OR(Inputs!$G$84="No",Inputs!$Q$33="Performance-Based",Inputs!$Q$33="Neither"),0,IF(AND(Inputs!$Q$34="ITC",U$2=1),Inputs!$Q$37,IF(U$2&gt;1,0,IF(Inputs!$Q$34="Cash Grant",0,"ERROR"))))</f>
        <v>0</v>
      </c>
      <c r="V181" s="345">
        <f>IF(OR(Inputs!$G$84="No",Inputs!$Q$33="Performance-Based",Inputs!$Q$33="Neither"),0,IF(AND(Inputs!$Q$34="ITC",V$2=1),Inputs!$Q$37,IF(V$2&gt;1,0,IF(Inputs!$Q$34="Cash Grant",0,"ERROR"))))</f>
        <v>0</v>
      </c>
      <c r="W181" s="345">
        <f>IF(OR(Inputs!$G$84="No",Inputs!$Q$33="Performance-Based",Inputs!$Q$33="Neither"),0,IF(AND(Inputs!$Q$34="ITC",W$2=1),Inputs!$Q$37,IF(W$2&gt;1,0,IF(Inputs!$Q$34="Cash Grant",0,"ERROR"))))</f>
        <v>0</v>
      </c>
      <c r="X181" s="345">
        <f>IF(OR(Inputs!$G$84="No",Inputs!$Q$33="Performance-Based",Inputs!$Q$33="Neither"),0,IF(AND(Inputs!$Q$34="ITC",X$2=1),Inputs!$Q$37,IF(X$2&gt;1,0,IF(Inputs!$Q$34="Cash Grant",0,"ERROR"))))</f>
        <v>0</v>
      </c>
      <c r="Y181" s="345">
        <f>IF(OR(Inputs!$G$84="No",Inputs!$Q$33="Performance-Based",Inputs!$Q$33="Neither"),0,IF(AND(Inputs!$Q$34="ITC",Y$2=1),Inputs!$Q$37,IF(Y$2&gt;1,0,IF(Inputs!$Q$34="Cash Grant",0,"ERROR"))))</f>
        <v>0</v>
      </c>
      <c r="Z181" s="345">
        <f>IF(OR(Inputs!$G$84="No",Inputs!$Q$33="Performance-Based",Inputs!$Q$33="Neither"),0,IF(AND(Inputs!$Q$34="ITC",Z$2=1),Inputs!$Q$37,IF(Z$2&gt;1,0,IF(Inputs!$Q$34="Cash Grant",0,"ERROR"))))</f>
        <v>0</v>
      </c>
      <c r="AA181" s="345">
        <f>IF(OR(Inputs!$G$84="No",Inputs!$Q$33="Performance-Based",Inputs!$Q$33="Neither"),0,IF(AND(Inputs!$Q$34="ITC",AA$2=1),Inputs!$Q$37,IF(AA$2&gt;1,0,IF(Inputs!$Q$34="Cash Grant",0,"ERROR"))))</f>
        <v>0</v>
      </c>
      <c r="AB181" s="345">
        <f>IF(OR(Inputs!$G$84="No",Inputs!$Q$33="Performance-Based",Inputs!$Q$33="Neither"),0,IF(AND(Inputs!$Q$34="ITC",AB$2=1),Inputs!$Q$37,IF(AB$2&gt;1,0,IF(Inputs!$Q$34="Cash Grant",0,"ERROR"))))</f>
        <v>0</v>
      </c>
      <c r="AC181" s="345">
        <f>IF(OR(Inputs!$G$84="No",Inputs!$Q$33="Performance-Based",Inputs!$Q$33="Neither"),0,IF(AND(Inputs!$Q$34="ITC",AC$2=1),Inputs!$Q$37,IF(AC$2&gt;1,0,IF(Inputs!$Q$34="Cash Grant",0,"ERROR"))))</f>
        <v>0</v>
      </c>
      <c r="AD181" s="345">
        <f>IF(OR(Inputs!$G$84="No",Inputs!$Q$33="Performance-Based",Inputs!$Q$33="Neither"),0,IF(AND(Inputs!$Q$34="ITC",AD$2=1),Inputs!$Q$37,IF(AD$2&gt;1,0,IF(Inputs!$Q$34="Cash Grant",0,"ERROR"))))</f>
        <v>0</v>
      </c>
      <c r="AE181" s="345">
        <f>IF(OR(Inputs!$G$84="No",Inputs!$Q$33="Performance-Based",Inputs!$Q$33="Neither"),0,IF(AND(Inputs!$Q$34="ITC",AE$2=1),Inputs!$Q$37,IF(AE$2&gt;1,0,IF(Inputs!$Q$34="Cash Grant",0,"ERROR"))))</f>
        <v>0</v>
      </c>
      <c r="AF181" s="345">
        <f>IF(OR(Inputs!$G$84="No",Inputs!$Q$33="Performance-Based",Inputs!$Q$33="Neither"),0,IF(AND(Inputs!$Q$34="ITC",AF$2=1),Inputs!$Q$37,IF(AF$2&gt;1,0,IF(Inputs!$Q$34="Cash Grant",0,"ERROR"))))</f>
        <v>0</v>
      </c>
      <c r="AG181" s="345">
        <f>IF(OR(Inputs!$G$84="No",Inputs!$Q$33="Performance-Based",Inputs!$Q$33="Neither"),0,IF(AND(Inputs!$Q$34="ITC",AG$2=1),Inputs!$Q$37,IF(AG$2&gt;1,0,IF(Inputs!$Q$34="Cash Grant",0,"ERROR"))))</f>
        <v>0</v>
      </c>
      <c r="AH181" s="345">
        <f>IF(OR(Inputs!$G$84="No",Inputs!$Q$33="Performance-Based",Inputs!$Q$33="Neither"),0,IF(AND(Inputs!$Q$34="ITC",AH$2=1),Inputs!$Q$37,IF(AH$2&gt;1,0,IF(Inputs!$Q$34="Cash Grant",0,"ERROR"))))</f>
        <v>0</v>
      </c>
      <c r="AI181" s="345">
        <f>IF(OR(Inputs!$G$84="No",Inputs!$Q$33="Performance-Based",Inputs!$Q$33="Neither"),0,IF(AND(Inputs!$Q$34="ITC",AI$2=1),Inputs!$Q$37,IF(AI$2&gt;1,0,IF(Inputs!$Q$34="Cash Grant",0,"ERROR"))))</f>
        <v>0</v>
      </c>
      <c r="AJ181" s="345">
        <f>IF(OR(Inputs!$G$84="No",Inputs!$Q$33="Performance-Based",Inputs!$Q$33="Neither"),0,IF(AND(Inputs!$Q$34="ITC",AJ$2=1),Inputs!$Q$37,IF(AJ$2&gt;1,0,IF(Inputs!$Q$34="Cash Grant",0,"ERROR"))))</f>
        <v>0</v>
      </c>
    </row>
    <row r="182" spans="2:36" s="29" customFormat="1" ht="16">
      <c r="B182" s="259" t="s">
        <v>194</v>
      </c>
      <c r="C182" s="259"/>
      <c r="D182" s="259"/>
      <c r="E182" s="259"/>
      <c r="F182" s="274"/>
      <c r="G182" s="279">
        <f>IF(OR(Inputs!$G$84="No",Inputs!$Q$33="Cost-Based",Inputs!$Q$33="Neither"),0,IF(Inputs!$Q$38="Tax Credit",IF(G$2&gt;Inputs!$Q$41,0,Inputs!$Q$39/100*G$12*Inputs!$Q$40*G$5*(1-MIN(Inputs!$Q$43/Inputs!$G$29,50%))),0))</f>
        <v>41706.36</v>
      </c>
      <c r="H182" s="279">
        <f>IF(OR(Inputs!$G$84="No",Inputs!$Q$33="Cost-Based",Inputs!$Q$33="Neither"),0,IF(Inputs!$Q$38="Tax Credit",IF(H$2&gt;Inputs!$Q$41,0,Inputs!$Q$39/100*H$12*Inputs!$Q$40*H$5*(1-MIN(Inputs!$Q$43/Inputs!$G$29,50%))),0))</f>
        <v>42540.487200000003</v>
      </c>
      <c r="I182" s="279">
        <f>IF(OR(Inputs!$G$84="No",Inputs!$Q$33="Cost-Based",Inputs!$Q$33="Neither"),0,IF(Inputs!$Q$38="Tax Credit",IF(I$2&gt;Inputs!$Q$41,0,Inputs!$Q$39/100*I$12*Inputs!$Q$40*I$5*(1-MIN(Inputs!$Q$43/Inputs!$G$29,50%))),0))</f>
        <v>43391.296943999994</v>
      </c>
      <c r="J182" s="279">
        <f>IF(OR(Inputs!$G$84="No",Inputs!$Q$33="Cost-Based",Inputs!$Q$33="Neither"),0,IF(Inputs!$Q$38="Tax Credit",IF(J$2&gt;Inputs!$Q$41,0,Inputs!$Q$39/100*J$12*Inputs!$Q$40*J$5*(1-MIN(Inputs!$Q$43/Inputs!$G$29,50%))),0))</f>
        <v>44259.122882879994</v>
      </c>
      <c r="K182" s="279">
        <f>IF(OR(Inputs!$G$84="No",Inputs!$Q$33="Cost-Based",Inputs!$Q$33="Neither"),0,IF(Inputs!$Q$38="Tax Credit",IF(K$2&gt;Inputs!$Q$41,0,Inputs!$Q$39/100*K$12*Inputs!$Q$40*K$5*(1-MIN(Inputs!$Q$43/Inputs!$G$29,50%))),0))</f>
        <v>45144.305340537598</v>
      </c>
      <c r="L182" s="279">
        <f>IF(OR(Inputs!$G$84="No",Inputs!$Q$33="Cost-Based",Inputs!$Q$33="Neither"),0,IF(Inputs!$Q$38="Tax Credit",IF(L$2&gt;Inputs!$Q$41,0,Inputs!$Q$39/100*L$12*Inputs!$Q$40*L$5*(1-MIN(Inputs!$Q$43/Inputs!$G$29,50%))),0))</f>
        <v>46047.191447348356</v>
      </c>
      <c r="M182" s="279">
        <f>IF(OR(Inputs!$G$84="No",Inputs!$Q$33="Cost-Based",Inputs!$Q$33="Neither"),0,IF(Inputs!$Q$38="Tax Credit",IF(M$2&gt;Inputs!$Q$41,0,Inputs!$Q$39/100*M$12*Inputs!$Q$40*M$5*(1-MIN(Inputs!$Q$43/Inputs!$G$29,50%))),0))</f>
        <v>46968.135276295317</v>
      </c>
      <c r="N182" s="279">
        <f>IF(OR(Inputs!$G$84="No",Inputs!$Q$33="Cost-Based",Inputs!$Q$33="Neither"),0,IF(Inputs!$Q$38="Tax Credit",IF(N$2&gt;Inputs!$Q$41,0,Inputs!$Q$39/100*N$12*Inputs!$Q$40*N$5*(1-MIN(Inputs!$Q$43/Inputs!$G$29,50%))),0))</f>
        <v>47907.49798182123</v>
      </c>
      <c r="O182" s="279">
        <f>IF(OR(Inputs!$G$84="No",Inputs!$Q$33="Cost-Based",Inputs!$Q$33="Neither"),0,IF(Inputs!$Q$38="Tax Credit",IF(O$2&gt;Inputs!$Q$41,0,Inputs!$Q$39/100*O$12*Inputs!$Q$40*O$5*(1-MIN(Inputs!$Q$43/Inputs!$G$29,50%))),0))</f>
        <v>48865.647941457653</v>
      </c>
      <c r="P182" s="279">
        <f>IF(OR(Inputs!$G$84="No",Inputs!$Q$33="Cost-Based",Inputs!$Q$33="Neither"),0,IF(Inputs!$Q$38="Tax Credit",IF(P$2&gt;Inputs!$Q$41,0,Inputs!$Q$39/100*P$12*Inputs!$Q$40*P$5*(1-MIN(Inputs!$Q$43/Inputs!$G$29,50%))),0))</f>
        <v>49842.960900286809</v>
      </c>
      <c r="Q182" s="279">
        <f>IF(OR(Inputs!$G$84="No",Inputs!$Q$33="Cost-Based",Inputs!$Q$33="Neither"),0,IF(Inputs!$Q$38="Tax Credit",IF(Q$2&gt;Inputs!$Q$41,0,Inputs!$Q$39/100*Q$12*Inputs!$Q$40*Q$5*(1-MIN(Inputs!$Q$43/Inputs!$G$29,50%))),0))</f>
        <v>0</v>
      </c>
      <c r="R182" s="279">
        <f>IF(OR(Inputs!$G$84="No",Inputs!$Q$33="Cost-Based",Inputs!$Q$33="Neither"),0,IF(Inputs!$Q$38="Tax Credit",IF(R$2&gt;Inputs!$Q$41,0,Inputs!$Q$39/100*R$12*Inputs!$Q$40*R$5*(1-MIN(Inputs!$Q$43/Inputs!$G$29,50%))),0))</f>
        <v>0</v>
      </c>
      <c r="S182" s="279">
        <f>IF(OR(Inputs!$G$84="No",Inputs!$Q$33="Cost-Based",Inputs!$Q$33="Neither"),0,IF(Inputs!$Q$38="Tax Credit",IF(S$2&gt;Inputs!$Q$41,0,Inputs!$Q$39/100*S$12*Inputs!$Q$40*S$5*(1-MIN(Inputs!$Q$43/Inputs!$G$29,50%))),0))</f>
        <v>0</v>
      </c>
      <c r="T182" s="279">
        <f>IF(OR(Inputs!$G$84="No",Inputs!$Q$33="Cost-Based",Inputs!$Q$33="Neither"),0,IF(Inputs!$Q$38="Tax Credit",IF(T$2&gt;Inputs!$Q$41,0,Inputs!$Q$39/100*T$12*Inputs!$Q$40*T$5*(1-MIN(Inputs!$Q$43/Inputs!$G$29,50%))),0))</f>
        <v>0</v>
      </c>
      <c r="U182" s="279">
        <f>IF(OR(Inputs!$G$84="No",Inputs!$Q$33="Cost-Based",Inputs!$Q$33="Neither"),0,IF(Inputs!$Q$38="Tax Credit",IF(U$2&gt;Inputs!$Q$41,0,Inputs!$Q$39/100*U$12*Inputs!$Q$40*U$5*(1-MIN(Inputs!$Q$43/Inputs!$G$29,50%))),0))</f>
        <v>0</v>
      </c>
      <c r="V182" s="279">
        <f>IF(OR(Inputs!$G$84="No",Inputs!$Q$33="Cost-Based",Inputs!$Q$33="Neither"),0,IF(Inputs!$Q$38="Tax Credit",IF(V$2&gt;Inputs!$Q$41,0,Inputs!$Q$39/100*V$12*Inputs!$Q$40*V$5*(1-MIN(Inputs!$Q$43/Inputs!$G$29,50%))),0))</f>
        <v>0</v>
      </c>
      <c r="W182" s="279">
        <f>IF(OR(Inputs!$G$84="No",Inputs!$Q$33="Cost-Based",Inputs!$Q$33="Neither"),0,IF(Inputs!$Q$38="Tax Credit",IF(W$2&gt;Inputs!$Q$41,0,Inputs!$Q$39/100*W$12*Inputs!$Q$40*W$5*(1-MIN(Inputs!$Q$43/Inputs!$G$29,50%))),0))</f>
        <v>0</v>
      </c>
      <c r="X182" s="279">
        <f>IF(OR(Inputs!$G$84="No",Inputs!$Q$33="Cost-Based",Inputs!$Q$33="Neither"),0,IF(Inputs!$Q$38="Tax Credit",IF(X$2&gt;Inputs!$Q$41,0,Inputs!$Q$39/100*X$12*Inputs!$Q$40*X$5*(1-MIN(Inputs!$Q$43/Inputs!$G$29,50%))),0))</f>
        <v>0</v>
      </c>
      <c r="Y182" s="279">
        <f>IF(OR(Inputs!$G$84="No",Inputs!$Q$33="Cost-Based",Inputs!$Q$33="Neither"),0,IF(Inputs!$Q$38="Tax Credit",IF(Y$2&gt;Inputs!$Q$41,0,Inputs!$Q$39/100*Y$12*Inputs!$Q$40*Y$5*(1-MIN(Inputs!$Q$43/Inputs!$G$29,50%))),0))</f>
        <v>0</v>
      </c>
      <c r="Z182" s="279">
        <f>IF(OR(Inputs!$G$84="No",Inputs!$Q$33="Cost-Based",Inputs!$Q$33="Neither"),0,IF(Inputs!$Q$38="Tax Credit",IF(Z$2&gt;Inputs!$Q$41,0,Inputs!$Q$39/100*Z$12*Inputs!$Q$40*Z$5*(1-MIN(Inputs!$Q$43/Inputs!$G$29,50%))),0))</f>
        <v>0</v>
      </c>
      <c r="AA182" s="279">
        <f>IF(OR(Inputs!$G$84="No",Inputs!$Q$33="Cost-Based",Inputs!$Q$33="Neither"),0,IF(Inputs!$Q$38="Tax Credit",IF(AA$2&gt;Inputs!$Q$41,0,Inputs!$Q$39/100*AA$12*Inputs!$Q$40*AA$5*(1-MIN(Inputs!$Q$43/Inputs!$G$29,50%))),0))</f>
        <v>0</v>
      </c>
      <c r="AB182" s="279">
        <f>IF(OR(Inputs!$G$84="No",Inputs!$Q$33="Cost-Based",Inputs!$Q$33="Neither"),0,IF(Inputs!$Q$38="Tax Credit",IF(AB$2&gt;Inputs!$Q$41,0,Inputs!$Q$39/100*AB$12*Inputs!$Q$40*AB$5*(1-MIN(Inputs!$Q$43/Inputs!$G$29,50%))),0))</f>
        <v>0</v>
      </c>
      <c r="AC182" s="279">
        <f>IF(OR(Inputs!$G$84="No",Inputs!$Q$33="Cost-Based",Inputs!$Q$33="Neither"),0,IF(Inputs!$Q$38="Tax Credit",IF(AC$2&gt;Inputs!$Q$41,0,Inputs!$Q$39/100*AC$12*Inputs!$Q$40*AC$5*(1-MIN(Inputs!$Q$43/Inputs!$G$29,50%))),0))</f>
        <v>0</v>
      </c>
      <c r="AD182" s="279">
        <f>IF(OR(Inputs!$G$84="No",Inputs!$Q$33="Cost-Based",Inputs!$Q$33="Neither"),0,IF(Inputs!$Q$38="Tax Credit",IF(AD$2&gt;Inputs!$Q$41,0,Inputs!$Q$39/100*AD$12*Inputs!$Q$40*AD$5*(1-MIN(Inputs!$Q$43/Inputs!$G$29,50%))),0))</f>
        <v>0</v>
      </c>
      <c r="AE182" s="279">
        <f>IF(OR(Inputs!$G$84="No",Inputs!$Q$33="Cost-Based",Inputs!$Q$33="Neither"),0,IF(Inputs!$Q$38="Tax Credit",IF(AE$2&gt;Inputs!$Q$41,0,Inputs!$Q$39/100*AE$12*Inputs!$Q$40*AE$5*(1-MIN(Inputs!$Q$43/Inputs!$G$29,50%))),0))</f>
        <v>0</v>
      </c>
      <c r="AF182" s="279">
        <f>IF(OR(Inputs!$G$84="No",Inputs!$Q$33="Cost-Based",Inputs!$Q$33="Neither"),0,IF(Inputs!$Q$38="Tax Credit",IF(AF$2&gt;Inputs!$Q$41,0,Inputs!$Q$39/100*AF$12*Inputs!$Q$40*AF$5*(1-MIN(Inputs!$Q$43/Inputs!$G$29,50%))),0))</f>
        <v>0</v>
      </c>
      <c r="AG182" s="279">
        <f>IF(OR(Inputs!$G$84="No",Inputs!$Q$33="Cost-Based",Inputs!$Q$33="Neither"),0,IF(Inputs!$Q$38="Tax Credit",IF(AG$2&gt;Inputs!$Q$41,0,Inputs!$Q$39/100*AG$12*Inputs!$Q$40*AG$5*(1-MIN(Inputs!$Q$43/Inputs!$G$29,50%))),0))</f>
        <v>0</v>
      </c>
      <c r="AH182" s="279">
        <f>IF(OR(Inputs!$G$84="No",Inputs!$Q$33="Cost-Based",Inputs!$Q$33="Neither"),0,IF(Inputs!$Q$38="Tax Credit",IF(AH$2&gt;Inputs!$Q$41,0,Inputs!$Q$39/100*AH$12*Inputs!$Q$40*AH$5*(1-MIN(Inputs!$Q$43/Inputs!$G$29,50%))),0))</f>
        <v>0</v>
      </c>
      <c r="AI182" s="279">
        <f>IF(OR(Inputs!$G$84="No",Inputs!$Q$33="Cost-Based",Inputs!$Q$33="Neither"),0,IF(Inputs!$Q$38="Tax Credit",IF(AI$2&gt;Inputs!$Q$41,0,Inputs!$Q$39/100*AI$12*Inputs!$Q$40*AI$5*(1-MIN(Inputs!$Q$43/Inputs!$G$29,50%))),0))</f>
        <v>0</v>
      </c>
      <c r="AJ182" s="279">
        <f>IF(OR(Inputs!$G$84="No",Inputs!$Q$33="Cost-Based",Inputs!$Q$33="Neither"),0,IF(Inputs!$Q$38="Tax Credit",IF(AJ$2&gt;Inputs!$Q$41,0,Inputs!$Q$39/100*AJ$12*Inputs!$Q$40*AJ$5*(1-MIN(Inputs!$Q$43/Inputs!$G$29,50%))),0))</f>
        <v>0</v>
      </c>
    </row>
    <row r="183" spans="2:36" s="29" customFormat="1" ht="16">
      <c r="B183" s="259"/>
      <c r="C183" s="259"/>
      <c r="D183" s="259"/>
      <c r="E183" s="259"/>
      <c r="F183" s="274"/>
      <c r="G183" s="279"/>
      <c r="H183" s="279"/>
      <c r="I183" s="279"/>
      <c r="J183" s="279"/>
      <c r="K183" s="279"/>
      <c r="L183" s="279"/>
      <c r="M183" s="279"/>
      <c r="N183" s="279"/>
      <c r="O183" s="279"/>
      <c r="P183" s="279"/>
      <c r="Q183" s="279"/>
      <c r="R183" s="279"/>
      <c r="S183" s="279"/>
      <c r="T183" s="279"/>
      <c r="U183" s="279"/>
      <c r="V183" s="279"/>
      <c r="W183" s="279"/>
      <c r="X183" s="279"/>
      <c r="Y183" s="279"/>
      <c r="Z183" s="279"/>
      <c r="AA183" s="279"/>
      <c r="AB183" s="279"/>
      <c r="AC183" s="279"/>
      <c r="AD183" s="279"/>
      <c r="AE183" s="279"/>
      <c r="AF183" s="279"/>
      <c r="AG183" s="279"/>
      <c r="AH183" s="279"/>
      <c r="AI183" s="279"/>
      <c r="AJ183" s="279"/>
    </row>
    <row r="184" spans="2:36" s="29" customFormat="1" ht="16">
      <c r="B184" s="259" t="s">
        <v>237</v>
      </c>
      <c r="C184" s="259"/>
      <c r="D184" s="259"/>
      <c r="E184" s="259"/>
      <c r="F184" s="274"/>
      <c r="G184" s="279">
        <f>SUM(G181:G182)</f>
        <v>41706.36</v>
      </c>
      <c r="H184" s="279">
        <f t="shared" ref="H184:AJ184" si="59">SUM(H181:H182)</f>
        <v>42540.487200000003</v>
      </c>
      <c r="I184" s="279">
        <f t="shared" si="59"/>
        <v>43391.296943999994</v>
      </c>
      <c r="J184" s="279">
        <f t="shared" si="59"/>
        <v>44259.122882879994</v>
      </c>
      <c r="K184" s="279">
        <f t="shared" si="59"/>
        <v>45144.305340537598</v>
      </c>
      <c r="L184" s="279">
        <f t="shared" si="59"/>
        <v>46047.191447348356</v>
      </c>
      <c r="M184" s="279">
        <f t="shared" si="59"/>
        <v>46968.135276295317</v>
      </c>
      <c r="N184" s="279">
        <f t="shared" si="59"/>
        <v>47907.49798182123</v>
      </c>
      <c r="O184" s="279">
        <f t="shared" si="59"/>
        <v>48865.647941457653</v>
      </c>
      <c r="P184" s="279">
        <f t="shared" si="59"/>
        <v>49842.960900286809</v>
      </c>
      <c r="Q184" s="279">
        <f t="shared" si="59"/>
        <v>0</v>
      </c>
      <c r="R184" s="279">
        <f t="shared" si="59"/>
        <v>0</v>
      </c>
      <c r="S184" s="279">
        <f t="shared" si="59"/>
        <v>0</v>
      </c>
      <c r="T184" s="279">
        <f t="shared" si="59"/>
        <v>0</v>
      </c>
      <c r="U184" s="279">
        <f t="shared" si="59"/>
        <v>0</v>
      </c>
      <c r="V184" s="279">
        <f t="shared" si="59"/>
        <v>0</v>
      </c>
      <c r="W184" s="279">
        <f t="shared" si="59"/>
        <v>0</v>
      </c>
      <c r="X184" s="279">
        <f t="shared" si="59"/>
        <v>0</v>
      </c>
      <c r="Y184" s="279">
        <f t="shared" si="59"/>
        <v>0</v>
      </c>
      <c r="Z184" s="279">
        <f t="shared" si="59"/>
        <v>0</v>
      </c>
      <c r="AA184" s="279">
        <f t="shared" si="59"/>
        <v>0</v>
      </c>
      <c r="AB184" s="279">
        <f t="shared" si="59"/>
        <v>0</v>
      </c>
      <c r="AC184" s="279">
        <f t="shared" si="59"/>
        <v>0</v>
      </c>
      <c r="AD184" s="279">
        <f t="shared" si="59"/>
        <v>0</v>
      </c>
      <c r="AE184" s="279">
        <f t="shared" si="59"/>
        <v>0</v>
      </c>
      <c r="AF184" s="279">
        <f t="shared" si="59"/>
        <v>0</v>
      </c>
      <c r="AG184" s="279">
        <f t="shared" si="59"/>
        <v>0</v>
      </c>
      <c r="AH184" s="279">
        <f t="shared" si="59"/>
        <v>0</v>
      </c>
      <c r="AI184" s="279">
        <f t="shared" si="59"/>
        <v>0</v>
      </c>
      <c r="AJ184" s="279">
        <f t="shared" si="59"/>
        <v>0</v>
      </c>
    </row>
    <row r="185" spans="2:36" s="29" customFormat="1" ht="16">
      <c r="B185" s="259"/>
      <c r="C185" s="259"/>
      <c r="D185" s="259"/>
      <c r="E185" s="259"/>
      <c r="F185" s="274"/>
      <c r="G185" s="279"/>
      <c r="H185" s="279"/>
      <c r="I185" s="279"/>
      <c r="J185" s="279"/>
      <c r="K185" s="279"/>
      <c r="L185" s="279"/>
      <c r="M185" s="279"/>
      <c r="N185" s="279"/>
      <c r="O185" s="279"/>
      <c r="P185" s="279"/>
      <c r="Q185" s="279"/>
      <c r="R185" s="279"/>
      <c r="S185" s="279"/>
      <c r="T185" s="279"/>
      <c r="U185" s="279"/>
      <c r="V185" s="279"/>
      <c r="W185" s="279"/>
      <c r="X185" s="279"/>
      <c r="Y185" s="279"/>
      <c r="Z185" s="279"/>
      <c r="AA185" s="279"/>
      <c r="AB185" s="279"/>
      <c r="AC185" s="279"/>
      <c r="AD185" s="279"/>
      <c r="AE185" s="279"/>
      <c r="AF185" s="279"/>
      <c r="AG185" s="279"/>
      <c r="AH185" s="279"/>
      <c r="AI185" s="279"/>
      <c r="AJ185" s="279"/>
    </row>
    <row r="186" spans="2:36" s="29" customFormat="1" ht="16">
      <c r="B186" s="346" t="s">
        <v>238</v>
      </c>
      <c r="C186" s="346"/>
      <c r="D186" s="346"/>
      <c r="E186" s="259"/>
      <c r="F186" s="274"/>
      <c r="G186" s="279"/>
      <c r="H186" s="279"/>
      <c r="I186" s="279"/>
      <c r="J186" s="279"/>
      <c r="K186" s="279"/>
      <c r="L186" s="279"/>
      <c r="M186" s="279"/>
      <c r="N186" s="279"/>
      <c r="O186" s="279"/>
      <c r="P186" s="279"/>
      <c r="Q186" s="279"/>
      <c r="R186" s="279"/>
      <c r="S186" s="279"/>
      <c r="T186" s="279"/>
      <c r="U186" s="279"/>
      <c r="V186" s="279"/>
      <c r="W186" s="279"/>
      <c r="X186" s="279"/>
      <c r="Y186" s="279"/>
      <c r="Z186" s="279"/>
      <c r="AA186" s="279"/>
      <c r="AB186" s="279"/>
      <c r="AC186" s="279"/>
      <c r="AD186" s="279"/>
      <c r="AE186" s="279"/>
      <c r="AF186" s="279"/>
      <c r="AG186" s="279"/>
      <c r="AH186" s="279"/>
      <c r="AI186" s="279"/>
      <c r="AJ186" s="279"/>
    </row>
    <row r="187" spans="2:36" s="29" customFormat="1" ht="16">
      <c r="B187" s="259" t="str">
        <f>B75</f>
        <v>Federal Income Taxes Saved / (Paid), before ITC/PTC</v>
      </c>
      <c r="C187" s="259"/>
      <c r="D187" s="259"/>
      <c r="E187" s="259"/>
      <c r="F187" s="274"/>
      <c r="G187" s="279" t="str">
        <f>IF(Inputs!$G$86="as generated","N/A",'Cash Flow'!G75)</f>
        <v>N/A</v>
      </c>
      <c r="H187" s="279" t="str">
        <f>IF(Inputs!$G$86="as generated","N/A",'Cash Flow'!H75)</f>
        <v>N/A</v>
      </c>
      <c r="I187" s="279" t="str">
        <f>IF(Inputs!$G$86="as generated","N/A",'Cash Flow'!I75)</f>
        <v>N/A</v>
      </c>
      <c r="J187" s="279" t="str">
        <f>IF(Inputs!$G$86="as generated","N/A",'Cash Flow'!J75)</f>
        <v>N/A</v>
      </c>
      <c r="K187" s="279" t="str">
        <f>IF(Inputs!$G$86="as generated","N/A",'Cash Flow'!K75)</f>
        <v>N/A</v>
      </c>
      <c r="L187" s="279" t="str">
        <f>IF(Inputs!$G$86="as generated","N/A",'Cash Flow'!L75)</f>
        <v>N/A</v>
      </c>
      <c r="M187" s="279" t="str">
        <f>IF(Inputs!$G$86="as generated","N/A",'Cash Flow'!M75)</f>
        <v>N/A</v>
      </c>
      <c r="N187" s="279" t="str">
        <f>IF(Inputs!$G$86="as generated","N/A",'Cash Flow'!N75)</f>
        <v>N/A</v>
      </c>
      <c r="O187" s="279" t="str">
        <f>IF(Inputs!$G$86="as generated","N/A",'Cash Flow'!O75)</f>
        <v>N/A</v>
      </c>
      <c r="P187" s="279" t="str">
        <f>IF(Inputs!$G$86="as generated","N/A",'Cash Flow'!P75)</f>
        <v>N/A</v>
      </c>
      <c r="Q187" s="279" t="str">
        <f>IF(Inputs!$G$86="as generated","N/A",'Cash Flow'!Q75)</f>
        <v>N/A</v>
      </c>
      <c r="R187" s="279" t="str">
        <f>IF(Inputs!$G$86="as generated","N/A",'Cash Flow'!R75)</f>
        <v>N/A</v>
      </c>
      <c r="S187" s="279" t="str">
        <f>IF(Inputs!$G$86="as generated","N/A",'Cash Flow'!S75)</f>
        <v>N/A</v>
      </c>
      <c r="T187" s="279" t="str">
        <f>IF(Inputs!$G$86="as generated","N/A",'Cash Flow'!T75)</f>
        <v>N/A</v>
      </c>
      <c r="U187" s="279" t="str">
        <f>IF(Inputs!$G$86="as generated","N/A",'Cash Flow'!U75)</f>
        <v>N/A</v>
      </c>
      <c r="V187" s="279" t="str">
        <f>IF(Inputs!$G$86="as generated","N/A",'Cash Flow'!V75)</f>
        <v>N/A</v>
      </c>
      <c r="W187" s="279" t="str">
        <f>IF(Inputs!$G$86="as generated","N/A",'Cash Flow'!W75)</f>
        <v>N/A</v>
      </c>
      <c r="X187" s="279" t="str">
        <f>IF(Inputs!$G$86="as generated","N/A",'Cash Flow'!X75)</f>
        <v>N/A</v>
      </c>
      <c r="Y187" s="279" t="str">
        <f>IF(Inputs!$G$86="as generated","N/A",'Cash Flow'!Y75)</f>
        <v>N/A</v>
      </c>
      <c r="Z187" s="279" t="str">
        <f>IF(Inputs!$G$86="as generated","N/A",'Cash Flow'!Z75)</f>
        <v>N/A</v>
      </c>
      <c r="AA187" s="279" t="str">
        <f>IF(Inputs!$G$86="as generated","N/A",'Cash Flow'!AA75)</f>
        <v>N/A</v>
      </c>
      <c r="AB187" s="279" t="str">
        <f>IF(Inputs!$G$86="as generated","N/A",'Cash Flow'!AB75)</f>
        <v>N/A</v>
      </c>
      <c r="AC187" s="279" t="str">
        <f>IF(Inputs!$G$86="as generated","N/A",'Cash Flow'!AC75)</f>
        <v>N/A</v>
      </c>
      <c r="AD187" s="279" t="str">
        <f>IF(Inputs!$G$86="as generated","N/A",'Cash Flow'!AD75)</f>
        <v>N/A</v>
      </c>
      <c r="AE187" s="279" t="str">
        <f>IF(Inputs!$G$86="as generated","N/A",'Cash Flow'!AE75)</f>
        <v>N/A</v>
      </c>
      <c r="AF187" s="279" t="str">
        <f>IF(Inputs!$G$86="as generated","N/A",'Cash Flow'!AF75)</f>
        <v>N/A</v>
      </c>
      <c r="AG187" s="279" t="str">
        <f>IF(Inputs!$G$86="as generated","N/A",'Cash Flow'!AG75)</f>
        <v>N/A</v>
      </c>
      <c r="AH187" s="279" t="str">
        <f>IF(Inputs!$G$86="as generated","N/A",'Cash Flow'!AH75)</f>
        <v>N/A</v>
      </c>
      <c r="AI187" s="279" t="str">
        <f>IF(Inputs!$G$86="as generated","N/A",'Cash Flow'!AI75)</f>
        <v>N/A</v>
      </c>
      <c r="AJ187" s="279" t="str">
        <f>IF(Inputs!$G$86="as generated","N/A",'Cash Flow'!AJ75)</f>
        <v>N/A</v>
      </c>
    </row>
    <row r="188" spans="2:36" s="29" customFormat="1" ht="16">
      <c r="B188" s="259"/>
      <c r="C188" s="259"/>
      <c r="D188" s="259"/>
      <c r="E188" s="259"/>
      <c r="F188" s="274"/>
      <c r="G188" s="279"/>
      <c r="H188" s="279"/>
      <c r="I188" s="279"/>
      <c r="J188" s="279"/>
      <c r="K188" s="279"/>
      <c r="L188" s="279"/>
      <c r="M188" s="279"/>
      <c r="N188" s="279"/>
      <c r="O188" s="279"/>
      <c r="P188" s="279"/>
      <c r="Q188" s="279"/>
      <c r="R188" s="279"/>
      <c r="S188" s="279"/>
      <c r="T188" s="279"/>
      <c r="U188" s="279"/>
      <c r="V188" s="279"/>
      <c r="W188" s="279"/>
      <c r="X188" s="279"/>
      <c r="Y188" s="279"/>
      <c r="Z188" s="279"/>
      <c r="AA188" s="279"/>
      <c r="AB188" s="279"/>
      <c r="AC188" s="279"/>
      <c r="AD188" s="279"/>
      <c r="AE188" s="279"/>
      <c r="AF188" s="279"/>
      <c r="AG188" s="279"/>
      <c r="AH188" s="279"/>
      <c r="AI188" s="279"/>
      <c r="AJ188" s="279"/>
    </row>
    <row r="189" spans="2:36" s="29" customFormat="1" ht="16">
      <c r="B189" s="259" t="s">
        <v>275</v>
      </c>
      <c r="C189" s="259"/>
      <c r="D189" s="259"/>
      <c r="E189" s="259"/>
      <c r="F189" s="274"/>
      <c r="G189" s="279">
        <v>0</v>
      </c>
      <c r="H189" s="279">
        <f>IF(Inputs!$G$86="as generated",0,G192)</f>
        <v>0</v>
      </c>
      <c r="I189" s="279">
        <f>IF(Inputs!$G$86="as generated",0,H192)</f>
        <v>0</v>
      </c>
      <c r="J189" s="279">
        <f>IF(Inputs!$G$86="as generated",0,I192)</f>
        <v>0</v>
      </c>
      <c r="K189" s="279">
        <f>IF(Inputs!$G$86="as generated",0,J192)</f>
        <v>0</v>
      </c>
      <c r="L189" s="279">
        <f>IF(Inputs!$G$86="as generated",0,K192)</f>
        <v>0</v>
      </c>
      <c r="M189" s="279">
        <f>IF(Inputs!$G$86="as generated",0,L192)</f>
        <v>0</v>
      </c>
      <c r="N189" s="279">
        <f>IF(Inputs!$G$86="as generated",0,M192)</f>
        <v>0</v>
      </c>
      <c r="O189" s="279">
        <f>IF(Inputs!$G$86="as generated",0,N192)</f>
        <v>0</v>
      </c>
      <c r="P189" s="279">
        <f>IF(Inputs!$G$86="as generated",0,O192)</f>
        <v>0</v>
      </c>
      <c r="Q189" s="279">
        <f>IF(Inputs!$G$86="as generated",0,P192)</f>
        <v>0</v>
      </c>
      <c r="R189" s="279">
        <f>IF(Inputs!$G$86="as generated",0,Q192)</f>
        <v>0</v>
      </c>
      <c r="S189" s="279">
        <f>IF(Inputs!$G$86="as generated",0,R192)</f>
        <v>0</v>
      </c>
      <c r="T189" s="279">
        <f>IF(Inputs!$G$86="as generated",0,S192)</f>
        <v>0</v>
      </c>
      <c r="U189" s="279">
        <f>IF(Inputs!$G$86="as generated",0,T192)</f>
        <v>0</v>
      </c>
      <c r="V189" s="279">
        <f>IF(Inputs!$G$86="as generated",0,U192)</f>
        <v>0</v>
      </c>
      <c r="W189" s="279">
        <f>IF(Inputs!$G$86="as generated",0,V192)</f>
        <v>0</v>
      </c>
      <c r="X189" s="279">
        <f>IF(Inputs!$G$86="as generated",0,W192)</f>
        <v>0</v>
      </c>
      <c r="Y189" s="279">
        <f>IF(Inputs!$G$86="as generated",0,X192)</f>
        <v>0</v>
      </c>
      <c r="Z189" s="279">
        <f>IF(Inputs!$G$86="as generated",0,Y192)</f>
        <v>0</v>
      </c>
      <c r="AA189" s="279">
        <f>IF(Inputs!$G$86="as generated",0,Z192)</f>
        <v>0</v>
      </c>
      <c r="AB189" s="279">
        <f>IF(Inputs!$G$86="as generated",0,AA192)</f>
        <v>0</v>
      </c>
      <c r="AC189" s="279">
        <f>IF(Inputs!$G$86="as generated",0,AB192)</f>
        <v>0</v>
      </c>
      <c r="AD189" s="279">
        <f>IF(Inputs!$G$86="as generated",0,AC192)</f>
        <v>0</v>
      </c>
      <c r="AE189" s="279">
        <f>IF(Inputs!$G$86="as generated",0,AD192)</f>
        <v>0</v>
      </c>
      <c r="AF189" s="279">
        <f>IF(Inputs!$G$86="as generated",0,AE192)</f>
        <v>0</v>
      </c>
      <c r="AG189" s="279">
        <f>IF(Inputs!$G$86="as generated",0,AF192)</f>
        <v>0</v>
      </c>
      <c r="AH189" s="279">
        <f>IF(Inputs!$G$86="as generated",0,AG192)</f>
        <v>0</v>
      </c>
      <c r="AI189" s="279">
        <f>IF(Inputs!$G$86="as generated",0,AH192)</f>
        <v>0</v>
      </c>
      <c r="AJ189" s="279">
        <f>IF(Inputs!$G$86="as generated",0,AI192)</f>
        <v>0</v>
      </c>
    </row>
    <row r="190" spans="2:36" s="29" customFormat="1" ht="16">
      <c r="B190" s="259" t="s">
        <v>276</v>
      </c>
      <c r="C190" s="259"/>
      <c r="D190" s="259"/>
      <c r="E190" s="259"/>
      <c r="F190" s="274"/>
      <c r="G190" s="279">
        <f>IF(Inputs!$G$86="as generated",0,IF(G187&lt;=0,G184,0))</f>
        <v>0</v>
      </c>
      <c r="H190" s="279">
        <f>IF(Inputs!$G$86="as generated",0,IF(H187&lt;=0,H184,0))</f>
        <v>0</v>
      </c>
      <c r="I190" s="279">
        <f>IF(Inputs!$G$86="as generated",0,IF(I187&lt;=0,I184,0))</f>
        <v>0</v>
      </c>
      <c r="J190" s="279">
        <f>IF(Inputs!$G$86="as generated",0,IF(J187&lt;=0,J184,0))</f>
        <v>0</v>
      </c>
      <c r="K190" s="279">
        <f>IF(Inputs!$G$86="as generated",0,IF(K187&lt;=0,K184,0))</f>
        <v>0</v>
      </c>
      <c r="L190" s="279">
        <f>IF(Inputs!$G$86="as generated",0,IF(L187&lt;=0,L184,0))</f>
        <v>0</v>
      </c>
      <c r="M190" s="279">
        <f>IF(Inputs!$G$86="as generated",0,IF(M187&lt;=0,M184,0))</f>
        <v>0</v>
      </c>
      <c r="N190" s="279">
        <f>IF(Inputs!$G$86="as generated",0,IF(N187&lt;=0,N184,0))</f>
        <v>0</v>
      </c>
      <c r="O190" s="279">
        <f>IF(Inputs!$G$86="as generated",0,IF(O187&lt;=0,O184,0))</f>
        <v>0</v>
      </c>
      <c r="P190" s="279">
        <f>IF(Inputs!$G$86="as generated",0,IF(P187&lt;=0,P184,0))</f>
        <v>0</v>
      </c>
      <c r="Q190" s="279">
        <f>IF(Inputs!$G$86="as generated",0,IF(Q187&lt;=0,Q184,0))</f>
        <v>0</v>
      </c>
      <c r="R190" s="279">
        <f>IF(Inputs!$G$86="as generated",0,IF(R187&lt;=0,R184,0))</f>
        <v>0</v>
      </c>
      <c r="S190" s="279">
        <f>IF(Inputs!$G$86="as generated",0,IF(S187&lt;=0,S184,0))</f>
        <v>0</v>
      </c>
      <c r="T190" s="279">
        <f>IF(Inputs!$G$86="as generated",0,IF(T187&lt;=0,T184,0))</f>
        <v>0</v>
      </c>
      <c r="U190" s="279">
        <f>IF(Inputs!$G$86="as generated",0,IF(U187&lt;=0,U184,0))</f>
        <v>0</v>
      </c>
      <c r="V190" s="279">
        <f>IF(Inputs!$G$86="as generated",0,IF(V187&lt;=0,V184,0))</f>
        <v>0</v>
      </c>
      <c r="W190" s="279">
        <f>IF(Inputs!$G$86="as generated",0,IF(W187&lt;=0,W184,0))</f>
        <v>0</v>
      </c>
      <c r="X190" s="279">
        <f>IF(Inputs!$G$86="as generated",0,IF(X187&lt;=0,X184,0))</f>
        <v>0</v>
      </c>
      <c r="Y190" s="279">
        <f>IF(Inputs!$G$86="as generated",0,IF(Y187&lt;=0,Y184,0))</f>
        <v>0</v>
      </c>
      <c r="Z190" s="279">
        <f>IF(Inputs!$G$86="as generated",0,IF(Z187&lt;=0,Z184,0))</f>
        <v>0</v>
      </c>
      <c r="AA190" s="279">
        <f>IF(Inputs!$G$86="as generated",0,IF(AA187&lt;=0,AA184,0))</f>
        <v>0</v>
      </c>
      <c r="AB190" s="279">
        <f>IF(Inputs!$G$86="as generated",0,IF(AB187&lt;=0,AB184,0))</f>
        <v>0</v>
      </c>
      <c r="AC190" s="279">
        <f>IF(Inputs!$G$86="as generated",0,IF(AC187&lt;=0,AC184,0))</f>
        <v>0</v>
      </c>
      <c r="AD190" s="279">
        <f>IF(Inputs!$G$86="as generated",0,IF(AD187&lt;=0,AD184,0))</f>
        <v>0</v>
      </c>
      <c r="AE190" s="279">
        <f>IF(Inputs!$G$86="as generated",0,IF(AE187&lt;=0,AE184,0))</f>
        <v>0</v>
      </c>
      <c r="AF190" s="279">
        <f>IF(Inputs!$G$86="as generated",0,IF(AF187&lt;=0,AF184,0))</f>
        <v>0</v>
      </c>
      <c r="AG190" s="279">
        <f>IF(Inputs!$G$86="as generated",0,IF(AG187&lt;=0,AG184,0))</f>
        <v>0</v>
      </c>
      <c r="AH190" s="279">
        <f>IF(Inputs!$G$86="as generated",0,IF(AH187&lt;=0,AH184,0))</f>
        <v>0</v>
      </c>
      <c r="AI190" s="279">
        <f>IF(Inputs!$G$86="as generated",0,IF(AI187&lt;=0,AI184,0))</f>
        <v>0</v>
      </c>
      <c r="AJ190" s="279">
        <f>IF(Inputs!$G$86="as generated",0,IF(AJ187&lt;=0,AJ184,0))</f>
        <v>0</v>
      </c>
    </row>
    <row r="191" spans="2:36" s="29" customFormat="1" ht="16">
      <c r="B191" s="259" t="s">
        <v>277</v>
      </c>
      <c r="C191" s="259"/>
      <c r="D191" s="259"/>
      <c r="E191" s="259"/>
      <c r="F191" s="274"/>
      <c r="G191" s="279">
        <f>IF(Inputs!$G$86="as generated",0,IF(G$187&lt;0,MAX(G$187,-G$190),0))</f>
        <v>0</v>
      </c>
      <c r="H191" s="279">
        <f>IF(Inputs!$G$86="as generated",0,IF(H$187&lt;0,MAX(H$187,-G$192),0))</f>
        <v>0</v>
      </c>
      <c r="I191" s="279">
        <f>IF(Inputs!$G$86="as generated",0,IF(I$187&lt;0,MAX(I$187,-H$192),0))</f>
        <v>0</v>
      </c>
      <c r="J191" s="279">
        <f>IF(Inputs!$G$86="as generated",0,IF(J$187&lt;0,MAX(J$187,-I$192),0))</f>
        <v>0</v>
      </c>
      <c r="K191" s="279">
        <f>IF(Inputs!$G$86="as generated",0,IF(K$187&lt;0,MAX(K$187,-J$192),0))</f>
        <v>0</v>
      </c>
      <c r="L191" s="279">
        <f>IF(Inputs!$G$86="as generated",0,IF(L$187&lt;0,MAX(L$187,-K$192),0))</f>
        <v>0</v>
      </c>
      <c r="M191" s="279">
        <f>IF(Inputs!$G$86="as generated",0,IF(M$187&lt;0,MAX(M$187,-L$192),0))</f>
        <v>0</v>
      </c>
      <c r="N191" s="279">
        <f>IF(Inputs!$G$86="as generated",0,IF(N$187&lt;0,MAX(N$187,-M$192),0))</f>
        <v>0</v>
      </c>
      <c r="O191" s="279">
        <f>IF(Inputs!$G$86="as generated",0,IF(O$187&lt;0,MAX(O$187,-N$192),0))</f>
        <v>0</v>
      </c>
      <c r="P191" s="279">
        <f>IF(Inputs!$G$86="as generated",0,IF(P$187&lt;0,MAX(P$187,-O$192),0))</f>
        <v>0</v>
      </c>
      <c r="Q191" s="279">
        <f>IF(Inputs!$G$86="as generated",0,IF(Q$187&lt;0,MAX(Q$187,-P$192),0))</f>
        <v>0</v>
      </c>
      <c r="R191" s="279">
        <f>IF(Inputs!$G$86="as generated",0,IF(R$187&lt;0,MAX(R$187,-Q$192),0))</f>
        <v>0</v>
      </c>
      <c r="S191" s="279">
        <f>IF(Inputs!$G$86="as generated",0,IF(S$187&lt;0,MAX(S$187,-R$192),0))</f>
        <v>0</v>
      </c>
      <c r="T191" s="279">
        <f>IF(Inputs!$G$86="as generated",0,IF(T$187&lt;0,MAX(T$187,-S$192),0))</f>
        <v>0</v>
      </c>
      <c r="U191" s="279">
        <f>IF(Inputs!$G$86="as generated",0,IF(U$187&lt;0,MAX(U$187,-T$192),0))</f>
        <v>0</v>
      </c>
      <c r="V191" s="279">
        <f>IF(Inputs!$G$86="as generated",0,IF(V$187&lt;0,MAX(V$187,-U$192),0))</f>
        <v>0</v>
      </c>
      <c r="W191" s="279">
        <f>IF(Inputs!$G$86="as generated",0,IF(W$187&lt;0,MAX(W$187,-V$192),0))</f>
        <v>0</v>
      </c>
      <c r="X191" s="279">
        <f>IF(Inputs!$G$86="as generated",0,IF(X$187&lt;0,MAX(X$187,-W$192),0))</f>
        <v>0</v>
      </c>
      <c r="Y191" s="279">
        <f>IF(Inputs!$G$86="as generated",0,IF(Y$187&lt;0,MAX(Y$187,-X$192),0))</f>
        <v>0</v>
      </c>
      <c r="Z191" s="279">
        <f>IF(Inputs!$G$86="as generated",0,IF(Z$187&lt;0,MAX(Z$187,-Y$192),0))</f>
        <v>0</v>
      </c>
      <c r="AA191" s="279">
        <f>IF(Inputs!$G$86="as generated",0,IF(AA$187&lt;0,MAX(AA$187,-Z$192),0))</f>
        <v>0</v>
      </c>
      <c r="AB191" s="279">
        <f>IF(Inputs!$G$86="as generated",0,IF(AB$187&lt;0,MAX(AB$187,-AA$192),0))</f>
        <v>0</v>
      </c>
      <c r="AC191" s="279">
        <f>IF(Inputs!$G$86="as generated",0,IF(AC$187&lt;0,MAX(AC$187,-AB$192),0))</f>
        <v>0</v>
      </c>
      <c r="AD191" s="279">
        <f>IF(Inputs!$G$86="as generated",0,IF(AD$187&lt;0,MAX(AD$187,-AC$192),0))</f>
        <v>0</v>
      </c>
      <c r="AE191" s="279">
        <f>IF(Inputs!$G$86="as generated",0,IF(AE$187&lt;0,MAX(AE$187,-AD$192),0))</f>
        <v>0</v>
      </c>
      <c r="AF191" s="279">
        <f>IF(Inputs!$G$86="as generated",0,IF(AF$187&lt;0,MAX(AF$187,-AE$192),0))</f>
        <v>0</v>
      </c>
      <c r="AG191" s="279">
        <f>IF(Inputs!$G$86="as generated",0,IF(AG$187&lt;0,MAX(AG$187,-AF$192),0))</f>
        <v>0</v>
      </c>
      <c r="AH191" s="279">
        <f>IF(Inputs!$G$86="as generated",0,IF(AH$187&lt;0,MAX(AH$187,-AG$192),0))</f>
        <v>0</v>
      </c>
      <c r="AI191" s="279">
        <f>IF(Inputs!$G$86="as generated",0,IF(AI$187&lt;0,MAX(AI$187,-AH$192),0))</f>
        <v>0</v>
      </c>
      <c r="AJ191" s="279">
        <f>IF(Inputs!$G$86="as generated",0,IF(AJ$187&lt;0,MAX(AJ$187,-AI$192),0))</f>
        <v>0</v>
      </c>
    </row>
    <row r="192" spans="2:36" s="29" customFormat="1" ht="16">
      <c r="B192" s="259" t="s">
        <v>278</v>
      </c>
      <c r="C192" s="259"/>
      <c r="D192" s="259"/>
      <c r="E192" s="259"/>
      <c r="F192" s="279">
        <v>0</v>
      </c>
      <c r="G192" s="279">
        <f>SUM(G189:G191)</f>
        <v>0</v>
      </c>
      <c r="H192" s="279">
        <f t="shared" ref="H192:AJ192" si="60">SUM(H189:H191)</f>
        <v>0</v>
      </c>
      <c r="I192" s="279">
        <f t="shared" si="60"/>
        <v>0</v>
      </c>
      <c r="J192" s="279">
        <f t="shared" si="60"/>
        <v>0</v>
      </c>
      <c r="K192" s="279">
        <f t="shared" si="60"/>
        <v>0</v>
      </c>
      <c r="L192" s="279">
        <f t="shared" si="60"/>
        <v>0</v>
      </c>
      <c r="M192" s="279">
        <f t="shared" si="60"/>
        <v>0</v>
      </c>
      <c r="N192" s="279">
        <f t="shared" si="60"/>
        <v>0</v>
      </c>
      <c r="O192" s="279">
        <f t="shared" si="60"/>
        <v>0</v>
      </c>
      <c r="P192" s="279">
        <f t="shared" si="60"/>
        <v>0</v>
      </c>
      <c r="Q192" s="279">
        <f t="shared" si="60"/>
        <v>0</v>
      </c>
      <c r="R192" s="279">
        <f t="shared" si="60"/>
        <v>0</v>
      </c>
      <c r="S192" s="279">
        <f t="shared" si="60"/>
        <v>0</v>
      </c>
      <c r="T192" s="279">
        <f t="shared" si="60"/>
        <v>0</v>
      </c>
      <c r="U192" s="279">
        <f t="shared" si="60"/>
        <v>0</v>
      </c>
      <c r="V192" s="279">
        <f t="shared" si="60"/>
        <v>0</v>
      </c>
      <c r="W192" s="279">
        <f t="shared" si="60"/>
        <v>0</v>
      </c>
      <c r="X192" s="279">
        <f t="shared" si="60"/>
        <v>0</v>
      </c>
      <c r="Y192" s="279">
        <f t="shared" si="60"/>
        <v>0</v>
      </c>
      <c r="Z192" s="279">
        <f t="shared" si="60"/>
        <v>0</v>
      </c>
      <c r="AA192" s="279">
        <f t="shared" si="60"/>
        <v>0</v>
      </c>
      <c r="AB192" s="279">
        <f t="shared" si="60"/>
        <v>0</v>
      </c>
      <c r="AC192" s="279">
        <f t="shared" si="60"/>
        <v>0</v>
      </c>
      <c r="AD192" s="279">
        <f t="shared" si="60"/>
        <v>0</v>
      </c>
      <c r="AE192" s="279">
        <f t="shared" si="60"/>
        <v>0</v>
      </c>
      <c r="AF192" s="279">
        <f t="shared" si="60"/>
        <v>0</v>
      </c>
      <c r="AG192" s="279">
        <f t="shared" si="60"/>
        <v>0</v>
      </c>
      <c r="AH192" s="279">
        <f t="shared" si="60"/>
        <v>0</v>
      </c>
      <c r="AI192" s="279">
        <f t="shared" si="60"/>
        <v>0</v>
      </c>
      <c r="AJ192" s="279">
        <f t="shared" si="60"/>
        <v>0</v>
      </c>
    </row>
    <row r="193" spans="2:36" s="29" customFormat="1" ht="16">
      <c r="B193" s="259"/>
      <c r="C193" s="259"/>
      <c r="D193" s="259"/>
      <c r="E193" s="259"/>
      <c r="F193" s="274"/>
      <c r="G193" s="274"/>
      <c r="H193" s="285"/>
      <c r="I193" s="259"/>
      <c r="J193" s="259"/>
      <c r="K193" s="259"/>
      <c r="L193" s="259"/>
      <c r="M193" s="259"/>
      <c r="N193" s="259"/>
      <c r="O193" s="259"/>
      <c r="P193" s="259"/>
      <c r="Q193" s="259"/>
      <c r="R193" s="259"/>
      <c r="S193" s="259"/>
      <c r="T193" s="259"/>
      <c r="U193" s="259"/>
      <c r="V193" s="259"/>
      <c r="W193" s="259"/>
      <c r="X193" s="259"/>
      <c r="Y193" s="259"/>
      <c r="Z193" s="259"/>
      <c r="AA193" s="259"/>
      <c r="AB193" s="259"/>
      <c r="AC193" s="259"/>
      <c r="AD193" s="259"/>
      <c r="AE193" s="259"/>
      <c r="AF193" s="259"/>
      <c r="AG193" s="259"/>
      <c r="AH193" s="259"/>
      <c r="AI193" s="259"/>
      <c r="AJ193" s="259"/>
    </row>
    <row r="194" spans="2:36" s="29" customFormat="1" ht="16">
      <c r="B194" s="258" t="s">
        <v>239</v>
      </c>
      <c r="C194" s="258"/>
      <c r="D194" s="258"/>
      <c r="E194" s="259"/>
      <c r="F194" s="274"/>
      <c r="G194" s="284"/>
      <c r="H194" s="285"/>
      <c r="I194" s="259"/>
      <c r="J194" s="259"/>
      <c r="K194" s="259"/>
      <c r="L194" s="259"/>
      <c r="M194" s="259"/>
      <c r="N194" s="259"/>
      <c r="O194" s="259"/>
      <c r="P194" s="259"/>
      <c r="Q194" s="259"/>
      <c r="R194" s="259"/>
      <c r="S194" s="259"/>
      <c r="T194" s="259"/>
      <c r="U194" s="259"/>
      <c r="V194" s="259"/>
      <c r="W194" s="259"/>
      <c r="X194" s="259"/>
      <c r="Y194" s="259"/>
      <c r="Z194" s="259"/>
      <c r="AA194" s="259"/>
      <c r="AB194" s="259"/>
      <c r="AC194" s="259"/>
      <c r="AD194" s="259"/>
      <c r="AE194" s="259"/>
      <c r="AF194" s="259"/>
      <c r="AG194" s="259"/>
      <c r="AH194" s="259"/>
      <c r="AI194" s="259"/>
      <c r="AJ194" s="259"/>
    </row>
    <row r="195" spans="2:36" s="29" customFormat="1" ht="16">
      <c r="B195" s="259" t="s">
        <v>236</v>
      </c>
      <c r="C195" s="259"/>
      <c r="D195" s="259"/>
      <c r="E195" s="259"/>
      <c r="F195" s="274"/>
      <c r="G195" s="345">
        <f>IF(OR(Inputs!$G$84="No",Inputs!$Q$47="Performance-Based",Inputs!$Q$47="Neither"),0,IF(G$2&lt;=Inputs!$Q$50,($C$111*(Inputs!$Q$48*(1-Inputs!$G$85))*Inputs!$Q$49)/Inputs!$Q$50,0))</f>
        <v>0</v>
      </c>
      <c r="H195" s="345">
        <f>IF(OR(Inputs!$G$84="No",Inputs!$Q$47="Performance-Based",Inputs!$Q$47="Neither"),0,IF(H$2&lt;=Inputs!$Q$50,($C$111*(Inputs!$Q$48*(1-Inputs!$G$85))*Inputs!$Q$49)/Inputs!$Q$50,0))</f>
        <v>0</v>
      </c>
      <c r="I195" s="345">
        <f>IF(OR(Inputs!$G$84="No",Inputs!$Q$47="Performance-Based",Inputs!$Q$47="Neither"),0,IF(I$2&lt;=Inputs!$Q$50,($C$111*(Inputs!$Q$48*(1-Inputs!$G$85))*Inputs!$Q$49)/Inputs!$Q$50,0))</f>
        <v>0</v>
      </c>
      <c r="J195" s="345">
        <f>IF(OR(Inputs!$G$84="No",Inputs!$Q$47="Performance-Based",Inputs!$Q$47="Neither"),0,IF(J$2&lt;=Inputs!$Q$50,($C$111*(Inputs!$Q$48*(1-Inputs!$G$85))*Inputs!$Q$49)/Inputs!$Q$50,0))</f>
        <v>0</v>
      </c>
      <c r="K195" s="345">
        <f>IF(OR(Inputs!$G$84="No",Inputs!$Q$47="Performance-Based",Inputs!$Q$47="Neither"),0,IF(K$2&lt;=Inputs!$Q$50,($C$111*(Inputs!$Q$48*(1-Inputs!$G$85))*Inputs!$Q$49)/Inputs!$Q$50,0))</f>
        <v>0</v>
      </c>
      <c r="L195" s="345">
        <f>IF(OR(Inputs!$G$84="No",Inputs!$Q$47="Performance-Based",Inputs!$Q$47="Neither"),0,IF(L$2&lt;=Inputs!$Q$50,($C$111*(Inputs!$Q$48*(1-Inputs!$G$85))*Inputs!$Q$49)/Inputs!$Q$50,0))</f>
        <v>0</v>
      </c>
      <c r="M195" s="345">
        <f>IF(OR(Inputs!$G$84="No",Inputs!$Q$47="Performance-Based",Inputs!$Q$47="Neither"),0,IF(M$2&lt;=Inputs!$Q$50,($C$111*(Inputs!$Q$48*(1-Inputs!$G$85))*Inputs!$Q$49)/Inputs!$Q$50,0))</f>
        <v>0</v>
      </c>
      <c r="N195" s="345">
        <f>IF(OR(Inputs!$G$84="No",Inputs!$Q$47="Performance-Based",Inputs!$Q$47="Neither"),0,IF(N$2&lt;=Inputs!$Q$50,($C$111*(Inputs!$Q$48*(1-Inputs!$G$85))*Inputs!$Q$49)/Inputs!$Q$50,0))</f>
        <v>0</v>
      </c>
      <c r="O195" s="345">
        <f>IF(OR(Inputs!$G$84="No",Inputs!$Q$47="Performance-Based",Inputs!$Q$47="Neither"),0,IF(O$2&lt;=Inputs!$Q$50,($C$111*(Inputs!$Q$48*(1-Inputs!$G$85))*Inputs!$Q$49)/Inputs!$Q$50,0))</f>
        <v>0</v>
      </c>
      <c r="P195" s="345">
        <f>IF(OR(Inputs!$G$84="No",Inputs!$Q$47="Performance-Based",Inputs!$Q$47="Neither"),0,IF(P$2&lt;=Inputs!$Q$50,($C$111*(Inputs!$Q$48*(1-Inputs!$G$85))*Inputs!$Q$49)/Inputs!$Q$50,0))</f>
        <v>0</v>
      </c>
      <c r="Q195" s="345">
        <f>IF(OR(Inputs!$G$84="No",Inputs!$Q$47="Performance-Based",Inputs!$Q$47="Neither"),0,IF(Q$2&lt;=Inputs!$Q$50,($C$111*(Inputs!$Q$48*(1-Inputs!$G$85))*Inputs!$Q$49)/Inputs!$Q$50,0))</f>
        <v>0</v>
      </c>
      <c r="R195" s="345">
        <f>IF(OR(Inputs!$G$84="No",Inputs!$Q$47="Performance-Based",Inputs!$Q$47="Neither"),0,IF(R$2&lt;=Inputs!$Q$50,($C$111*(Inputs!$Q$48*(1-Inputs!$G$85))*Inputs!$Q$49)/Inputs!$Q$50,0))</f>
        <v>0</v>
      </c>
      <c r="S195" s="345">
        <f>IF(OR(Inputs!$G$84="No",Inputs!$Q$47="Performance-Based",Inputs!$Q$47="Neither"),0,IF(S$2&lt;=Inputs!$Q$50,($C$111*(Inputs!$Q$48*(1-Inputs!$G$85))*Inputs!$Q$49)/Inputs!$Q$50,0))</f>
        <v>0</v>
      </c>
      <c r="T195" s="345">
        <f>IF(OR(Inputs!$G$84="No",Inputs!$Q$47="Performance-Based",Inputs!$Q$47="Neither"),0,IF(T$2&lt;=Inputs!$Q$50,($C$111*(Inputs!$Q$48*(1-Inputs!$G$85))*Inputs!$Q$49)/Inputs!$Q$50,0))</f>
        <v>0</v>
      </c>
      <c r="U195" s="345">
        <f>IF(OR(Inputs!$G$84="No",Inputs!$Q$47="Performance-Based",Inputs!$Q$47="Neither"),0,IF(U$2&lt;=Inputs!$Q$50,($C$111*(Inputs!$Q$48*(1-Inputs!$G$85))*Inputs!$Q$49)/Inputs!$Q$50,0))</f>
        <v>0</v>
      </c>
      <c r="V195" s="345">
        <f>IF(OR(Inputs!$G$84="No",Inputs!$Q$47="Performance-Based",Inputs!$Q$47="Neither"),0,IF(V$2&lt;=Inputs!$Q$50,($C$111*(Inputs!$Q$48*(1-Inputs!$G$85))*Inputs!$Q$49)/Inputs!$Q$50,0))</f>
        <v>0</v>
      </c>
      <c r="W195" s="345">
        <f>IF(OR(Inputs!$G$84="No",Inputs!$Q$47="Performance-Based",Inputs!$Q$47="Neither"),0,IF(W$2&lt;=Inputs!$Q$50,($C$111*(Inputs!$Q$48*(1-Inputs!$G$85))*Inputs!$Q$49)/Inputs!$Q$50,0))</f>
        <v>0</v>
      </c>
      <c r="X195" s="345">
        <f>IF(OR(Inputs!$G$84="No",Inputs!$Q$47="Performance-Based",Inputs!$Q$47="Neither"),0,IF(X$2&lt;=Inputs!$Q$50,($C$111*(Inputs!$Q$48*(1-Inputs!$G$85))*Inputs!$Q$49)/Inputs!$Q$50,0))</f>
        <v>0</v>
      </c>
      <c r="Y195" s="345">
        <f>IF(OR(Inputs!$G$84="No",Inputs!$Q$47="Performance-Based",Inputs!$Q$47="Neither"),0,IF(Y$2&lt;=Inputs!$Q$50,($C$111*(Inputs!$Q$48*(1-Inputs!$G$85))*Inputs!$Q$49)/Inputs!$Q$50,0))</f>
        <v>0</v>
      </c>
      <c r="Z195" s="345">
        <f>IF(OR(Inputs!$G$84="No",Inputs!$Q$47="Performance-Based",Inputs!$Q$47="Neither"),0,IF(Z$2&lt;=Inputs!$Q$50,($C$111*(Inputs!$Q$48*(1-Inputs!$G$85))*Inputs!$Q$49)/Inputs!$Q$50,0))</f>
        <v>0</v>
      </c>
      <c r="AA195" s="345">
        <f>IF(OR(Inputs!$G$84="No",Inputs!$Q$47="Performance-Based",Inputs!$Q$47="Neither"),0,IF(AA$2&lt;=Inputs!$Q$50,($C$111*(Inputs!$Q$48*(1-Inputs!$G$85))*Inputs!$Q$49)/Inputs!$Q$50,0))</f>
        <v>0</v>
      </c>
      <c r="AB195" s="345">
        <f>IF(OR(Inputs!$G$84="No",Inputs!$Q$47="Performance-Based",Inputs!$Q$47="Neither"),0,IF(AB$2&lt;=Inputs!$Q$50,($C$111*(Inputs!$Q$48*(1-Inputs!$G$85))*Inputs!$Q$49)/Inputs!$Q$50,0))</f>
        <v>0</v>
      </c>
      <c r="AC195" s="345">
        <f>IF(OR(Inputs!$G$84="No",Inputs!$Q$47="Performance-Based",Inputs!$Q$47="Neither"),0,IF(AC$2&lt;=Inputs!$Q$50,($C$111*(Inputs!$Q$48*(1-Inputs!$G$85))*Inputs!$Q$49)/Inputs!$Q$50,0))</f>
        <v>0</v>
      </c>
      <c r="AD195" s="345">
        <f>IF(OR(Inputs!$G$84="No",Inputs!$Q$47="Performance-Based",Inputs!$Q$47="Neither"),0,IF(AD$2&lt;=Inputs!$Q$50,($C$111*(Inputs!$Q$48*(1-Inputs!$G$85))*Inputs!$Q$49)/Inputs!$Q$50,0))</f>
        <v>0</v>
      </c>
      <c r="AE195" s="345">
        <f>IF(OR(Inputs!$G$84="No",Inputs!$Q$47="Performance-Based",Inputs!$Q$47="Neither"),0,IF(AE$2&lt;=Inputs!$Q$50,($C$111*(Inputs!$Q$48*(1-Inputs!$G$85))*Inputs!$Q$49)/Inputs!$Q$50,0))</f>
        <v>0</v>
      </c>
      <c r="AF195" s="345">
        <f>IF(OR(Inputs!$G$84="No",Inputs!$Q$47="Performance-Based",Inputs!$Q$47="Neither"),0,IF(AF$2&lt;=Inputs!$Q$50,($C$111*(Inputs!$Q$48*(1-Inputs!$G$85))*Inputs!$Q$49)/Inputs!$Q$50,0))</f>
        <v>0</v>
      </c>
      <c r="AG195" s="345">
        <f>IF(OR(Inputs!$G$84="No",Inputs!$Q$47="Performance-Based",Inputs!$Q$47="Neither"),0,IF(AG$2&lt;=Inputs!$Q$50,($C$111*(Inputs!$Q$48*(1-Inputs!$G$85))*Inputs!$Q$49)/Inputs!$Q$50,0))</f>
        <v>0</v>
      </c>
      <c r="AH195" s="345">
        <f>IF(OR(Inputs!$G$84="No",Inputs!$Q$47="Performance-Based",Inputs!$Q$47="Neither"),0,IF(AH$2&lt;=Inputs!$Q$50,($C$111*(Inputs!$Q$48*(1-Inputs!$G$85))*Inputs!$Q$49)/Inputs!$Q$50,0))</f>
        <v>0</v>
      </c>
      <c r="AI195" s="345">
        <f>IF(OR(Inputs!$G$84="No",Inputs!$Q$47="Performance-Based",Inputs!$Q$47="Neither"),0,IF(AI$2&lt;=Inputs!$Q$50,($C$111*(Inputs!$Q$48*(1-Inputs!$G$85))*Inputs!$Q$49)/Inputs!$Q$50,0))</f>
        <v>0</v>
      </c>
      <c r="AJ195" s="345">
        <f>IF(OR(Inputs!$G$84="No",Inputs!$Q$47="Performance-Based",Inputs!$Q$47="Neither"),0,IF(AJ$2&lt;=Inputs!$Q$50,($C$111*(Inputs!$Q$48*(1-Inputs!$G$85))*Inputs!$Q$49)/Inputs!$Q$50,0))</f>
        <v>0</v>
      </c>
    </row>
    <row r="196" spans="2:36" s="29" customFormat="1" ht="16">
      <c r="B196" s="259" t="s">
        <v>195</v>
      </c>
      <c r="C196" s="259"/>
      <c r="D196" s="259"/>
      <c r="E196" s="259"/>
      <c r="F196" s="274"/>
      <c r="G196" s="279">
        <f>IF(OR(Inputs!$G$84="No",Inputs!$Q$47="Cost-Based",Inputs!$Q$47="Neither"),0,IF(Inputs!$Q$52="Tax Credit",IF(G$2&gt;Inputs!$Q$57,0,IF(Inputs!$Q$53=0,Inputs!$Q$55/100*G$13*Inputs!$Q$56*G$5,MIN(Inputs!$Q$53,Inputs!$Q$55/100*G$13*Inputs!$Q$56*G$5))),0))</f>
        <v>0</v>
      </c>
      <c r="H196" s="279">
        <f>IF(OR(Inputs!$G$84="No",Inputs!$Q$47="Cost-Based",Inputs!$Q$47="Neither"),0,IF(Inputs!$Q$52="Tax Credit",IF(H$2&gt;Inputs!$Q$57,0,IF(Inputs!$Q$53=0,Inputs!$Q$55/100*H$13*Inputs!$Q$56*H$5,MIN(Inputs!$Q$53,Inputs!$Q$55/100*H$13*Inputs!$Q$56*H$5))),0))</f>
        <v>0</v>
      </c>
      <c r="I196" s="279">
        <f>IF(OR(Inputs!$G$84="No",Inputs!$Q$47="Cost-Based",Inputs!$Q$47="Neither"),0,IF(Inputs!$Q$52="Tax Credit",IF(I$2&gt;Inputs!$Q$57,0,IF(Inputs!$Q$53=0,Inputs!$Q$55/100*I$13*Inputs!$Q$56*I$5,MIN(Inputs!$Q$53,Inputs!$Q$55/100*I$13*Inputs!$Q$56*I$5))),0))</f>
        <v>0</v>
      </c>
      <c r="J196" s="279">
        <f>IF(OR(Inputs!$G$84="No",Inputs!$Q$47="Cost-Based",Inputs!$Q$47="Neither"),0,IF(Inputs!$Q$52="Tax Credit",IF(J$2&gt;Inputs!$Q$57,0,IF(Inputs!$Q$53=0,Inputs!$Q$55/100*J$13*Inputs!$Q$56*J$5,MIN(Inputs!$Q$53,Inputs!$Q$55/100*J$13*Inputs!$Q$56*J$5))),0))</f>
        <v>0</v>
      </c>
      <c r="K196" s="279">
        <f>IF(OR(Inputs!$G$84="No",Inputs!$Q$47="Cost-Based",Inputs!$Q$47="Neither"),0,IF(Inputs!$Q$52="Tax Credit",IF(K$2&gt;Inputs!$Q$57,0,IF(Inputs!$Q$53=0,Inputs!$Q$55/100*K$13*Inputs!$Q$56*K$5,MIN(Inputs!$Q$53,Inputs!$Q$55/100*K$13*Inputs!$Q$56*K$5))),0))</f>
        <v>0</v>
      </c>
      <c r="L196" s="279">
        <f>IF(OR(Inputs!$G$84="No",Inputs!$Q$47="Cost-Based",Inputs!$Q$47="Neither"),0,IF(Inputs!$Q$52="Tax Credit",IF(L$2&gt;Inputs!$Q$57,0,IF(Inputs!$Q$53=0,Inputs!$Q$55/100*L$13*Inputs!$Q$56*L$5,MIN(Inputs!$Q$53,Inputs!$Q$55/100*L$13*Inputs!$Q$56*L$5))),0))</f>
        <v>0</v>
      </c>
      <c r="M196" s="279">
        <f>IF(OR(Inputs!$G$84="No",Inputs!$Q$47="Cost-Based",Inputs!$Q$47="Neither"),0,IF(Inputs!$Q$52="Tax Credit",IF(M$2&gt;Inputs!$Q$57,0,IF(Inputs!$Q$53=0,Inputs!$Q$55/100*M$13*Inputs!$Q$56*M$5,MIN(Inputs!$Q$53,Inputs!$Q$55/100*M$13*Inputs!$Q$56*M$5))),0))</f>
        <v>0</v>
      </c>
      <c r="N196" s="279">
        <f>IF(OR(Inputs!$G$84="No",Inputs!$Q$47="Cost-Based",Inputs!$Q$47="Neither"),0,IF(Inputs!$Q$52="Tax Credit",IF(N$2&gt;Inputs!$Q$57,0,IF(Inputs!$Q$53=0,Inputs!$Q$55/100*N$13*Inputs!$Q$56*N$5,MIN(Inputs!$Q$53,Inputs!$Q$55/100*N$13*Inputs!$Q$56*N$5))),0))</f>
        <v>0</v>
      </c>
      <c r="O196" s="279">
        <f>IF(OR(Inputs!$G$84="No",Inputs!$Q$47="Cost-Based",Inputs!$Q$47="Neither"),0,IF(Inputs!$Q$52="Tax Credit",IF(O$2&gt;Inputs!$Q$57,0,IF(Inputs!$Q$53=0,Inputs!$Q$55/100*O$13*Inputs!$Q$56*O$5,MIN(Inputs!$Q$53,Inputs!$Q$55/100*O$13*Inputs!$Q$56*O$5))),0))</f>
        <v>0</v>
      </c>
      <c r="P196" s="279">
        <f>IF(OR(Inputs!$G$84="No",Inputs!$Q$47="Cost-Based",Inputs!$Q$47="Neither"),0,IF(Inputs!$Q$52="Tax Credit",IF(P$2&gt;Inputs!$Q$57,0,IF(Inputs!$Q$53=0,Inputs!$Q$55/100*P$13*Inputs!$Q$56*P$5,MIN(Inputs!$Q$53,Inputs!$Q$55/100*P$13*Inputs!$Q$56*P$5))),0))</f>
        <v>0</v>
      </c>
      <c r="Q196" s="279">
        <f>IF(OR(Inputs!$G$84="No",Inputs!$Q$47="Cost-Based",Inputs!$Q$47="Neither"),0,IF(Inputs!$Q$52="Tax Credit",IF(Q$2&gt;Inputs!$Q$57,0,IF(Inputs!$Q$53=0,Inputs!$Q$55/100*Q$13*Inputs!$Q$56*Q$5,MIN(Inputs!$Q$53,Inputs!$Q$55/100*Q$13*Inputs!$Q$56*Q$5))),0))</f>
        <v>0</v>
      </c>
      <c r="R196" s="279">
        <f>IF(OR(Inputs!$G$84="No",Inputs!$Q$47="Cost-Based",Inputs!$Q$47="Neither"),0,IF(Inputs!$Q$52="Tax Credit",IF(R$2&gt;Inputs!$Q$57,0,IF(Inputs!$Q$53=0,Inputs!$Q$55/100*R$13*Inputs!$Q$56*R$5,MIN(Inputs!$Q$53,Inputs!$Q$55/100*R$13*Inputs!$Q$56*R$5))),0))</f>
        <v>0</v>
      </c>
      <c r="S196" s="279">
        <f>IF(OR(Inputs!$G$84="No",Inputs!$Q$47="Cost-Based",Inputs!$Q$47="Neither"),0,IF(Inputs!$Q$52="Tax Credit",IF(S$2&gt;Inputs!$Q$57,0,IF(Inputs!$Q$53=0,Inputs!$Q$55/100*S$13*Inputs!$Q$56*S$5,MIN(Inputs!$Q$53,Inputs!$Q$55/100*S$13*Inputs!$Q$56*S$5))),0))</f>
        <v>0</v>
      </c>
      <c r="T196" s="279">
        <f>IF(OR(Inputs!$G$84="No",Inputs!$Q$47="Cost-Based",Inputs!$Q$47="Neither"),0,IF(Inputs!$Q$52="Tax Credit",IF(T$2&gt;Inputs!$Q$57,0,IF(Inputs!$Q$53=0,Inputs!$Q$55/100*T$13*Inputs!$Q$56*T$5,MIN(Inputs!$Q$53,Inputs!$Q$55/100*T$13*Inputs!$Q$56*T$5))),0))</f>
        <v>0</v>
      </c>
      <c r="U196" s="279">
        <f>IF(OR(Inputs!$G$84="No",Inputs!$Q$47="Cost-Based",Inputs!$Q$47="Neither"),0,IF(Inputs!$Q$52="Tax Credit",IF(U$2&gt;Inputs!$Q$57,0,IF(Inputs!$Q$53=0,Inputs!$Q$55/100*U$13*Inputs!$Q$56*U$5,MIN(Inputs!$Q$53,Inputs!$Q$55/100*U$13*Inputs!$Q$56*U$5))),0))</f>
        <v>0</v>
      </c>
      <c r="V196" s="279">
        <f>IF(OR(Inputs!$G$84="No",Inputs!$Q$47="Cost-Based",Inputs!$Q$47="Neither"),0,IF(Inputs!$Q$52="Tax Credit",IF(V$2&gt;Inputs!$Q$57,0,IF(Inputs!$Q$53=0,Inputs!$Q$55/100*V$13*Inputs!$Q$56*V$5,MIN(Inputs!$Q$53,Inputs!$Q$55/100*V$13*Inputs!$Q$56*V$5))),0))</f>
        <v>0</v>
      </c>
      <c r="W196" s="279">
        <f>IF(OR(Inputs!$G$84="No",Inputs!$Q$47="Cost-Based",Inputs!$Q$47="Neither"),0,IF(Inputs!$Q$52="Tax Credit",IF(W$2&gt;Inputs!$Q$57,0,IF(Inputs!$Q$53=0,Inputs!$Q$55/100*W$13*Inputs!$Q$56*W$5,MIN(Inputs!$Q$53,Inputs!$Q$55/100*W$13*Inputs!$Q$56*W$5))),0))</f>
        <v>0</v>
      </c>
      <c r="X196" s="279">
        <f>IF(OR(Inputs!$G$84="No",Inputs!$Q$47="Cost-Based",Inputs!$Q$47="Neither"),0,IF(Inputs!$Q$52="Tax Credit",IF(X$2&gt;Inputs!$Q$57,0,IF(Inputs!$Q$53=0,Inputs!$Q$55/100*X$13*Inputs!$Q$56*X$5,MIN(Inputs!$Q$53,Inputs!$Q$55/100*X$13*Inputs!$Q$56*X$5))),0))</f>
        <v>0</v>
      </c>
      <c r="Y196" s="279">
        <f>IF(OR(Inputs!$G$84="No",Inputs!$Q$47="Cost-Based",Inputs!$Q$47="Neither"),0,IF(Inputs!$Q$52="Tax Credit",IF(Y$2&gt;Inputs!$Q$57,0,IF(Inputs!$Q$53=0,Inputs!$Q$55/100*Y$13*Inputs!$Q$56*Y$5,MIN(Inputs!$Q$53,Inputs!$Q$55/100*Y$13*Inputs!$Q$56*Y$5))),0))</f>
        <v>0</v>
      </c>
      <c r="Z196" s="279">
        <f>IF(OR(Inputs!$G$84="No",Inputs!$Q$47="Cost-Based",Inputs!$Q$47="Neither"),0,IF(Inputs!$Q$52="Tax Credit",IF(Z$2&gt;Inputs!$Q$57,0,IF(Inputs!$Q$53=0,Inputs!$Q$55/100*Z$13*Inputs!$Q$56*Z$5,MIN(Inputs!$Q$53,Inputs!$Q$55/100*Z$13*Inputs!$Q$56*Z$5))),0))</f>
        <v>0</v>
      </c>
      <c r="AA196" s="279">
        <f>IF(OR(Inputs!$G$84="No",Inputs!$Q$47="Cost-Based",Inputs!$Q$47="Neither"),0,IF(Inputs!$Q$52="Tax Credit",IF(AA$2&gt;Inputs!$Q$57,0,IF(Inputs!$Q$53=0,Inputs!$Q$55/100*AA$13*Inputs!$Q$56*AA$5,MIN(Inputs!$Q$53,Inputs!$Q$55/100*AA$13*Inputs!$Q$56*AA$5))),0))</f>
        <v>0</v>
      </c>
      <c r="AB196" s="279">
        <f>IF(OR(Inputs!$G$84="No",Inputs!$Q$47="Cost-Based",Inputs!$Q$47="Neither"),0,IF(Inputs!$Q$52="Tax Credit",IF(AB$2&gt;Inputs!$Q$57,0,IF(Inputs!$Q$53=0,Inputs!$Q$55/100*AB$13*Inputs!$Q$56*AB$5,MIN(Inputs!$Q$53,Inputs!$Q$55/100*AB$13*Inputs!$Q$56*AB$5))),0))</f>
        <v>0</v>
      </c>
      <c r="AC196" s="279">
        <f>IF(OR(Inputs!$G$84="No",Inputs!$Q$47="Cost-Based",Inputs!$Q$47="Neither"),0,IF(Inputs!$Q$52="Tax Credit",IF(AC$2&gt;Inputs!$Q$57,0,IF(Inputs!$Q$53=0,Inputs!$Q$55/100*AC$13*Inputs!$Q$56*AC$5,MIN(Inputs!$Q$53,Inputs!$Q$55/100*AC$13*Inputs!$Q$56*AC$5))),0))</f>
        <v>0</v>
      </c>
      <c r="AD196" s="279">
        <f>IF(OR(Inputs!$G$84="No",Inputs!$Q$47="Cost-Based",Inputs!$Q$47="Neither"),0,IF(Inputs!$Q$52="Tax Credit",IF(AD$2&gt;Inputs!$Q$57,0,IF(Inputs!$Q$53=0,Inputs!$Q$55/100*AD$13*Inputs!$Q$56*AD$5,MIN(Inputs!$Q$53,Inputs!$Q$55/100*AD$13*Inputs!$Q$56*AD$5))),0))</f>
        <v>0</v>
      </c>
      <c r="AE196" s="279">
        <f>IF(OR(Inputs!$G$84="No",Inputs!$Q$47="Cost-Based",Inputs!$Q$47="Neither"),0,IF(Inputs!$Q$52="Tax Credit",IF(AE$2&gt;Inputs!$Q$57,0,IF(Inputs!$Q$53=0,Inputs!$Q$55/100*AE$13*Inputs!$Q$56*AE$5,MIN(Inputs!$Q$53,Inputs!$Q$55/100*AE$13*Inputs!$Q$56*AE$5))),0))</f>
        <v>0</v>
      </c>
      <c r="AF196" s="279">
        <f>IF(OR(Inputs!$G$84="No",Inputs!$Q$47="Cost-Based",Inputs!$Q$47="Neither"),0,IF(Inputs!$Q$52="Tax Credit",IF(AF$2&gt;Inputs!$Q$57,0,IF(Inputs!$Q$53=0,Inputs!$Q$55/100*AF$13*Inputs!$Q$56*AF$5,MIN(Inputs!$Q$53,Inputs!$Q$55/100*AF$13*Inputs!$Q$56*AF$5))),0))</f>
        <v>0</v>
      </c>
      <c r="AG196" s="279">
        <f>IF(OR(Inputs!$G$84="No",Inputs!$Q$47="Cost-Based",Inputs!$Q$47="Neither"),0,IF(Inputs!$Q$52="Tax Credit",IF(AG$2&gt;Inputs!$Q$57,0,IF(Inputs!$Q$53=0,Inputs!$Q$55/100*AG$13*Inputs!$Q$56*AG$5,MIN(Inputs!$Q$53,Inputs!$Q$55/100*AG$13*Inputs!$Q$56*AG$5))),0))</f>
        <v>0</v>
      </c>
      <c r="AH196" s="279">
        <f>IF(OR(Inputs!$G$84="No",Inputs!$Q$47="Cost-Based",Inputs!$Q$47="Neither"),0,IF(Inputs!$Q$52="Tax Credit",IF(AH$2&gt;Inputs!$Q$57,0,IF(Inputs!$Q$53=0,Inputs!$Q$55/100*AH$13*Inputs!$Q$56*AH$5,MIN(Inputs!$Q$53,Inputs!$Q$55/100*AH$13*Inputs!$Q$56*AH$5))),0))</f>
        <v>0</v>
      </c>
      <c r="AI196" s="279">
        <f>IF(OR(Inputs!$G$84="No",Inputs!$Q$47="Cost-Based",Inputs!$Q$47="Neither"),0,IF(Inputs!$Q$52="Tax Credit",IF(AI$2&gt;Inputs!$Q$57,0,IF(Inputs!$Q$53=0,Inputs!$Q$55/100*AI$13*Inputs!$Q$56*AI$5,MIN(Inputs!$Q$53,Inputs!$Q$55/100*AI$13*Inputs!$Q$56*AI$5))),0))</f>
        <v>0</v>
      </c>
      <c r="AJ196" s="279">
        <f>IF(OR(Inputs!$G$84="No",Inputs!$Q$47="Cost-Based",Inputs!$Q$47="Neither"),0,IF(Inputs!$Q$52="Tax Credit",IF(AJ$2&gt;Inputs!$Q$57,0,IF(Inputs!$Q$53=0,Inputs!$Q$55/100*AJ$13*Inputs!$Q$56*AJ$5,MIN(Inputs!$Q$53,Inputs!$Q$55/100*AJ$13*Inputs!$Q$56*AJ$5))),0))</f>
        <v>0</v>
      </c>
    </row>
    <row r="197" spans="2:36" s="29" customFormat="1" ht="16">
      <c r="B197" s="259"/>
      <c r="C197" s="259"/>
      <c r="D197" s="259"/>
      <c r="E197" s="259"/>
      <c r="F197" s="274"/>
      <c r="G197" s="284"/>
      <c r="H197" s="285"/>
      <c r="I197" s="259"/>
      <c r="J197" s="259"/>
      <c r="K197" s="259"/>
      <c r="L197" s="259"/>
      <c r="M197" s="259"/>
      <c r="N197" s="259"/>
      <c r="O197" s="259"/>
      <c r="P197" s="259"/>
      <c r="Q197" s="259"/>
      <c r="R197" s="259"/>
      <c r="S197" s="259"/>
      <c r="T197" s="259"/>
      <c r="U197" s="259"/>
      <c r="V197" s="259"/>
      <c r="W197" s="259"/>
      <c r="X197" s="259"/>
      <c r="Y197" s="259"/>
      <c r="Z197" s="259"/>
      <c r="AA197" s="259"/>
      <c r="AB197" s="259"/>
      <c r="AC197" s="259"/>
      <c r="AD197" s="259"/>
      <c r="AE197" s="259"/>
      <c r="AF197" s="259"/>
      <c r="AG197" s="259"/>
      <c r="AH197" s="259"/>
      <c r="AI197" s="259"/>
      <c r="AJ197" s="259"/>
    </row>
    <row r="198" spans="2:36" s="29" customFormat="1" ht="16">
      <c r="B198" s="259" t="s">
        <v>237</v>
      </c>
      <c r="C198" s="259"/>
      <c r="D198" s="259"/>
      <c r="E198" s="259"/>
      <c r="F198" s="274"/>
      <c r="G198" s="279">
        <f>SUM(G195:G196)</f>
        <v>0</v>
      </c>
      <c r="H198" s="279">
        <f t="shared" ref="H198:AJ198" si="61">SUM(H195:H196)</f>
        <v>0</v>
      </c>
      <c r="I198" s="279">
        <f t="shared" si="61"/>
        <v>0</v>
      </c>
      <c r="J198" s="279">
        <f t="shared" si="61"/>
        <v>0</v>
      </c>
      <c r="K198" s="279">
        <f t="shared" si="61"/>
        <v>0</v>
      </c>
      <c r="L198" s="279">
        <f t="shared" si="61"/>
        <v>0</v>
      </c>
      <c r="M198" s="279">
        <f t="shared" si="61"/>
        <v>0</v>
      </c>
      <c r="N198" s="279">
        <f t="shared" si="61"/>
        <v>0</v>
      </c>
      <c r="O198" s="279">
        <f t="shared" si="61"/>
        <v>0</v>
      </c>
      <c r="P198" s="279">
        <f t="shared" si="61"/>
        <v>0</v>
      </c>
      <c r="Q198" s="279">
        <f t="shared" si="61"/>
        <v>0</v>
      </c>
      <c r="R198" s="279">
        <f t="shared" si="61"/>
        <v>0</v>
      </c>
      <c r="S198" s="279">
        <f t="shared" si="61"/>
        <v>0</v>
      </c>
      <c r="T198" s="279">
        <f t="shared" si="61"/>
        <v>0</v>
      </c>
      <c r="U198" s="279">
        <f t="shared" si="61"/>
        <v>0</v>
      </c>
      <c r="V198" s="279">
        <f t="shared" si="61"/>
        <v>0</v>
      </c>
      <c r="W198" s="279">
        <f t="shared" si="61"/>
        <v>0</v>
      </c>
      <c r="X198" s="279">
        <f t="shared" si="61"/>
        <v>0</v>
      </c>
      <c r="Y198" s="279">
        <f t="shared" si="61"/>
        <v>0</v>
      </c>
      <c r="Z198" s="279">
        <f t="shared" si="61"/>
        <v>0</v>
      </c>
      <c r="AA198" s="279">
        <f t="shared" si="61"/>
        <v>0</v>
      </c>
      <c r="AB198" s="279">
        <f t="shared" si="61"/>
        <v>0</v>
      </c>
      <c r="AC198" s="279">
        <f t="shared" si="61"/>
        <v>0</v>
      </c>
      <c r="AD198" s="279">
        <f t="shared" si="61"/>
        <v>0</v>
      </c>
      <c r="AE198" s="279">
        <f t="shared" si="61"/>
        <v>0</v>
      </c>
      <c r="AF198" s="279">
        <f t="shared" si="61"/>
        <v>0</v>
      </c>
      <c r="AG198" s="279">
        <f t="shared" si="61"/>
        <v>0</v>
      </c>
      <c r="AH198" s="279">
        <f t="shared" si="61"/>
        <v>0</v>
      </c>
      <c r="AI198" s="279">
        <f t="shared" si="61"/>
        <v>0</v>
      </c>
      <c r="AJ198" s="279">
        <f t="shared" si="61"/>
        <v>0</v>
      </c>
    </row>
    <row r="199" spans="2:36" s="29" customFormat="1" ht="16">
      <c r="B199" s="259"/>
      <c r="C199" s="259"/>
      <c r="D199" s="259"/>
      <c r="E199" s="259"/>
      <c r="F199" s="274"/>
      <c r="G199" s="279"/>
      <c r="H199" s="279"/>
      <c r="I199" s="279"/>
      <c r="J199" s="279"/>
      <c r="K199" s="279"/>
      <c r="L199" s="279"/>
      <c r="M199" s="279"/>
      <c r="N199" s="279"/>
      <c r="O199" s="279"/>
      <c r="P199" s="279"/>
      <c r="Q199" s="279"/>
      <c r="R199" s="279"/>
      <c r="S199" s="279"/>
      <c r="T199" s="279"/>
      <c r="U199" s="279"/>
      <c r="V199" s="279"/>
      <c r="W199" s="279"/>
      <c r="X199" s="279"/>
      <c r="Y199" s="279"/>
      <c r="Z199" s="279"/>
      <c r="AA199" s="279"/>
      <c r="AB199" s="279"/>
      <c r="AC199" s="279"/>
      <c r="AD199" s="279"/>
      <c r="AE199" s="279"/>
      <c r="AF199" s="279"/>
      <c r="AG199" s="279"/>
      <c r="AH199" s="279"/>
      <c r="AI199" s="279"/>
      <c r="AJ199" s="279"/>
    </row>
    <row r="200" spans="2:36" s="29" customFormat="1" ht="16">
      <c r="B200" s="346" t="s">
        <v>238</v>
      </c>
      <c r="C200" s="346"/>
      <c r="D200" s="346"/>
      <c r="E200" s="259"/>
      <c r="F200" s="274"/>
      <c r="G200" s="279"/>
      <c r="H200" s="279"/>
      <c r="I200" s="279"/>
      <c r="J200" s="279"/>
      <c r="K200" s="279"/>
      <c r="L200" s="279"/>
      <c r="M200" s="279"/>
      <c r="N200" s="279"/>
      <c r="O200" s="279"/>
      <c r="P200" s="279"/>
      <c r="Q200" s="279"/>
      <c r="R200" s="279"/>
      <c r="S200" s="279"/>
      <c r="T200" s="279"/>
      <c r="U200" s="279"/>
      <c r="V200" s="279"/>
      <c r="W200" s="279"/>
      <c r="X200" s="279"/>
      <c r="Y200" s="279"/>
      <c r="Z200" s="279"/>
      <c r="AA200" s="279"/>
      <c r="AB200" s="279"/>
      <c r="AC200" s="279"/>
      <c r="AD200" s="279"/>
      <c r="AE200" s="279"/>
      <c r="AF200" s="279"/>
      <c r="AG200" s="279"/>
      <c r="AH200" s="279"/>
      <c r="AI200" s="279"/>
      <c r="AJ200" s="279"/>
    </row>
    <row r="201" spans="2:36" s="29" customFormat="1" ht="16">
      <c r="B201" s="259" t="str">
        <f>B76</f>
        <v>State Income Taxes Saved / (Paid), before ITC/PTC</v>
      </c>
      <c r="C201" s="259"/>
      <c r="D201" s="259"/>
      <c r="E201" s="259"/>
      <c r="F201" s="274"/>
      <c r="G201" s="279" t="str">
        <f>IF(Inputs!$G$88="as generated","N/A",'Cash Flow'!G76)</f>
        <v>N/A</v>
      </c>
      <c r="H201" s="279" t="str">
        <f>IF(Inputs!$G$88="as generated","N/A",'Cash Flow'!H76)</f>
        <v>N/A</v>
      </c>
      <c r="I201" s="279" t="str">
        <f>IF(Inputs!$G$88="as generated","N/A",'Cash Flow'!I76)</f>
        <v>N/A</v>
      </c>
      <c r="J201" s="279" t="str">
        <f>IF(Inputs!$G$88="as generated","N/A",'Cash Flow'!J76)</f>
        <v>N/A</v>
      </c>
      <c r="K201" s="279" t="str">
        <f>IF(Inputs!$G$88="as generated","N/A",'Cash Flow'!K76)</f>
        <v>N/A</v>
      </c>
      <c r="L201" s="279" t="str">
        <f>IF(Inputs!$G$88="as generated","N/A",'Cash Flow'!L76)</f>
        <v>N/A</v>
      </c>
      <c r="M201" s="279" t="str">
        <f>IF(Inputs!$G$88="as generated","N/A",'Cash Flow'!M76)</f>
        <v>N/A</v>
      </c>
      <c r="N201" s="279" t="str">
        <f>IF(Inputs!$G$88="as generated","N/A",'Cash Flow'!N76)</f>
        <v>N/A</v>
      </c>
      <c r="O201" s="279" t="str">
        <f>IF(Inputs!$G$88="as generated","N/A",'Cash Flow'!O76)</f>
        <v>N/A</v>
      </c>
      <c r="P201" s="279" t="str">
        <f>IF(Inputs!$G$88="as generated","N/A",'Cash Flow'!P76)</f>
        <v>N/A</v>
      </c>
      <c r="Q201" s="279" t="str">
        <f>IF(Inputs!$G$88="as generated","N/A",'Cash Flow'!Q76)</f>
        <v>N/A</v>
      </c>
      <c r="R201" s="279" t="str">
        <f>IF(Inputs!$G$88="as generated","N/A",'Cash Flow'!R76)</f>
        <v>N/A</v>
      </c>
      <c r="S201" s="279" t="str">
        <f>IF(Inputs!$G$88="as generated","N/A",'Cash Flow'!S76)</f>
        <v>N/A</v>
      </c>
      <c r="T201" s="279" t="str">
        <f>IF(Inputs!$G$88="as generated","N/A",'Cash Flow'!T76)</f>
        <v>N/A</v>
      </c>
      <c r="U201" s="279" t="str">
        <f>IF(Inputs!$G$88="as generated","N/A",'Cash Flow'!U76)</f>
        <v>N/A</v>
      </c>
      <c r="V201" s="279" t="str">
        <f>IF(Inputs!$G$88="as generated","N/A",'Cash Flow'!V76)</f>
        <v>N/A</v>
      </c>
      <c r="W201" s="279" t="str">
        <f>IF(Inputs!$G$88="as generated","N/A",'Cash Flow'!W76)</f>
        <v>N/A</v>
      </c>
      <c r="X201" s="279" t="str">
        <f>IF(Inputs!$G$88="as generated","N/A",'Cash Flow'!X76)</f>
        <v>N/A</v>
      </c>
      <c r="Y201" s="279" t="str">
        <f>IF(Inputs!$G$88="as generated","N/A",'Cash Flow'!Y76)</f>
        <v>N/A</v>
      </c>
      <c r="Z201" s="279" t="str">
        <f>IF(Inputs!$G$88="as generated","N/A",'Cash Flow'!Z76)</f>
        <v>N/A</v>
      </c>
      <c r="AA201" s="279" t="str">
        <f>IF(Inputs!$G$88="as generated","N/A",'Cash Flow'!AA76)</f>
        <v>N/A</v>
      </c>
      <c r="AB201" s="279" t="str">
        <f>IF(Inputs!$G$88="as generated","N/A",'Cash Flow'!AB76)</f>
        <v>N/A</v>
      </c>
      <c r="AC201" s="279" t="str">
        <f>IF(Inputs!$G$88="as generated","N/A",'Cash Flow'!AC76)</f>
        <v>N/A</v>
      </c>
      <c r="AD201" s="279" t="str">
        <f>IF(Inputs!$G$88="as generated","N/A",'Cash Flow'!AD76)</f>
        <v>N/A</v>
      </c>
      <c r="AE201" s="279" t="str">
        <f>IF(Inputs!$G$88="as generated","N/A",'Cash Flow'!AE76)</f>
        <v>N/A</v>
      </c>
      <c r="AF201" s="279" t="str">
        <f>IF(Inputs!$G$88="as generated","N/A",'Cash Flow'!AF76)</f>
        <v>N/A</v>
      </c>
      <c r="AG201" s="279" t="str">
        <f>IF(Inputs!$G$88="as generated","N/A",'Cash Flow'!AG76)</f>
        <v>N/A</v>
      </c>
      <c r="AH201" s="279" t="str">
        <f>IF(Inputs!$G$88="as generated","N/A",'Cash Flow'!AH76)</f>
        <v>N/A</v>
      </c>
      <c r="AI201" s="279" t="str">
        <f>IF(Inputs!$G$88="as generated","N/A",'Cash Flow'!AI76)</f>
        <v>N/A</v>
      </c>
      <c r="AJ201" s="279" t="str">
        <f>IF(Inputs!$G$88="as generated","N/A",'Cash Flow'!AJ76)</f>
        <v>N/A</v>
      </c>
    </row>
    <row r="202" spans="2:36" s="29" customFormat="1" ht="16">
      <c r="B202" s="259"/>
      <c r="C202" s="259"/>
      <c r="D202" s="259"/>
      <c r="E202" s="259"/>
      <c r="F202" s="274"/>
      <c r="G202" s="279"/>
      <c r="H202" s="279"/>
      <c r="I202" s="279"/>
      <c r="J202" s="279"/>
      <c r="K202" s="279"/>
      <c r="L202" s="279"/>
      <c r="M202" s="279"/>
      <c r="N202" s="279"/>
      <c r="O202" s="279"/>
      <c r="P202" s="279"/>
      <c r="Q202" s="279"/>
      <c r="R202" s="279"/>
      <c r="S202" s="279"/>
      <c r="T202" s="279"/>
      <c r="U202" s="279"/>
      <c r="V202" s="279"/>
      <c r="W202" s="279"/>
      <c r="X202" s="279"/>
      <c r="Y202" s="279"/>
      <c r="Z202" s="279"/>
      <c r="AA202" s="279"/>
      <c r="AB202" s="279"/>
      <c r="AC202" s="279"/>
      <c r="AD202" s="279"/>
      <c r="AE202" s="279"/>
      <c r="AF202" s="279"/>
      <c r="AG202" s="279"/>
      <c r="AH202" s="279"/>
      <c r="AI202" s="279"/>
      <c r="AJ202" s="279"/>
    </row>
    <row r="203" spans="2:36" s="29" customFormat="1" ht="16">
      <c r="B203" s="259" t="s">
        <v>275</v>
      </c>
      <c r="C203" s="259"/>
      <c r="D203" s="259"/>
      <c r="E203" s="259"/>
      <c r="F203" s="274"/>
      <c r="G203" s="279">
        <v>0</v>
      </c>
      <c r="H203" s="279">
        <f>IF(Inputs!$G$88="as generated",0,G206)</f>
        <v>0</v>
      </c>
      <c r="I203" s="279">
        <f>IF(Inputs!$G$88="as generated",0,H206)</f>
        <v>0</v>
      </c>
      <c r="J203" s="279">
        <f>IF(Inputs!$G$88="as generated",0,I206)</f>
        <v>0</v>
      </c>
      <c r="K203" s="279">
        <f>IF(Inputs!$G$88="as generated",0,J206)</f>
        <v>0</v>
      </c>
      <c r="L203" s="279">
        <f>IF(Inputs!$G$88="as generated",0,K206)</f>
        <v>0</v>
      </c>
      <c r="M203" s="279">
        <f>IF(Inputs!$G$88="as generated",0,L206)</f>
        <v>0</v>
      </c>
      <c r="N203" s="279">
        <f>IF(Inputs!$G$88="as generated",0,M206)</f>
        <v>0</v>
      </c>
      <c r="O203" s="279">
        <f>IF(Inputs!$G$88="as generated",0,N206)</f>
        <v>0</v>
      </c>
      <c r="P203" s="279">
        <f>IF(Inputs!$G$88="as generated",0,O206)</f>
        <v>0</v>
      </c>
      <c r="Q203" s="279">
        <f>IF(Inputs!$G$88="as generated",0,P206)</f>
        <v>0</v>
      </c>
      <c r="R203" s="279">
        <f>IF(Inputs!$G$88="as generated",0,Q206)</f>
        <v>0</v>
      </c>
      <c r="S203" s="279">
        <f>IF(Inputs!$G$88="as generated",0,R206)</f>
        <v>0</v>
      </c>
      <c r="T203" s="279">
        <f>IF(Inputs!$G$88="as generated",0,S206)</f>
        <v>0</v>
      </c>
      <c r="U203" s="279">
        <f>IF(Inputs!$G$88="as generated",0,T206)</f>
        <v>0</v>
      </c>
      <c r="V203" s="279">
        <f>IF(Inputs!$G$88="as generated",0,U206)</f>
        <v>0</v>
      </c>
      <c r="W203" s="279">
        <f>IF(Inputs!$G$88="as generated",0,V206)</f>
        <v>0</v>
      </c>
      <c r="X203" s="279">
        <f>IF(Inputs!$G$88="as generated",0,W206)</f>
        <v>0</v>
      </c>
      <c r="Y203" s="279">
        <f>IF(Inputs!$G$88="as generated",0,X206)</f>
        <v>0</v>
      </c>
      <c r="Z203" s="279">
        <f>IF(Inputs!$G$88="as generated",0,Y206)</f>
        <v>0</v>
      </c>
      <c r="AA203" s="279">
        <f>IF(Inputs!$G$88="as generated",0,Z206)</f>
        <v>0</v>
      </c>
      <c r="AB203" s="279">
        <f>IF(Inputs!$G$88="as generated",0,AA206)</f>
        <v>0</v>
      </c>
      <c r="AC203" s="279">
        <f>IF(Inputs!$G$88="as generated",0,AB206)</f>
        <v>0</v>
      </c>
      <c r="AD203" s="279">
        <f>IF(Inputs!$G$88="as generated",0,AC206)</f>
        <v>0</v>
      </c>
      <c r="AE203" s="279">
        <f>IF(Inputs!$G$88="as generated",0,AD206)</f>
        <v>0</v>
      </c>
      <c r="AF203" s="279">
        <f>IF(Inputs!$G$88="as generated",0,AE206)</f>
        <v>0</v>
      </c>
      <c r="AG203" s="279">
        <f>IF(Inputs!$G$88="as generated",0,AF206)</f>
        <v>0</v>
      </c>
      <c r="AH203" s="279">
        <f>IF(Inputs!$G$88="as generated",0,AG206)</f>
        <v>0</v>
      </c>
      <c r="AI203" s="279">
        <f>IF(Inputs!$G$88="as generated",0,AH206)</f>
        <v>0</v>
      </c>
      <c r="AJ203" s="279">
        <f>IF(Inputs!$G$88="as generated",0,AI206)</f>
        <v>0</v>
      </c>
    </row>
    <row r="204" spans="2:36" s="29" customFormat="1" ht="16">
      <c r="B204" s="259" t="s">
        <v>276</v>
      </c>
      <c r="C204" s="259"/>
      <c r="D204" s="259"/>
      <c r="E204" s="259"/>
      <c r="F204" s="274"/>
      <c r="G204" s="279">
        <f>IF(Inputs!$G$88="as generated",0,IF(G201&lt;=0,G198,0))</f>
        <v>0</v>
      </c>
      <c r="H204" s="279">
        <f>IF(Inputs!$G$88="as generated",0,IF(H201&lt;=0,H198,0))</f>
        <v>0</v>
      </c>
      <c r="I204" s="279">
        <f>IF(Inputs!$G$88="as generated",0,IF(I201&lt;=0,I198,0))</f>
        <v>0</v>
      </c>
      <c r="J204" s="279">
        <f>IF(Inputs!$G$88="as generated",0,IF(J201&lt;=0,J198,0))</f>
        <v>0</v>
      </c>
      <c r="K204" s="279">
        <f>IF(Inputs!$G$88="as generated",0,IF(K201&lt;=0,K198,0))</f>
        <v>0</v>
      </c>
      <c r="L204" s="279">
        <f>IF(Inputs!$G$88="as generated",0,IF(L201&lt;=0,L198,0))</f>
        <v>0</v>
      </c>
      <c r="M204" s="279">
        <f>IF(Inputs!$G$88="as generated",0,IF(M201&lt;=0,M198,0))</f>
        <v>0</v>
      </c>
      <c r="N204" s="279">
        <f>IF(Inputs!$G$88="as generated",0,IF(N201&lt;=0,N198,0))</f>
        <v>0</v>
      </c>
      <c r="O204" s="279">
        <f>IF(Inputs!$G$88="as generated",0,IF(O201&lt;=0,O198,0))</f>
        <v>0</v>
      </c>
      <c r="P204" s="279">
        <f>IF(Inputs!$G$88="as generated",0,IF(P201&lt;=0,P198,0))</f>
        <v>0</v>
      </c>
      <c r="Q204" s="279">
        <f>IF(Inputs!$G$88="as generated",0,IF(Q201&lt;=0,Q198,0))</f>
        <v>0</v>
      </c>
      <c r="R204" s="279">
        <f>IF(Inputs!$G$88="as generated",0,IF(R201&lt;=0,R198,0))</f>
        <v>0</v>
      </c>
      <c r="S204" s="279">
        <f>IF(Inputs!$G$88="as generated",0,IF(S201&lt;=0,S198,0))</f>
        <v>0</v>
      </c>
      <c r="T204" s="279">
        <f>IF(Inputs!$G$88="as generated",0,IF(T201&lt;=0,T198,0))</f>
        <v>0</v>
      </c>
      <c r="U204" s="279">
        <f>IF(Inputs!$G$88="as generated",0,IF(U201&lt;=0,U198,0))</f>
        <v>0</v>
      </c>
      <c r="V204" s="279">
        <f>IF(Inputs!$G$88="as generated",0,IF(V201&lt;=0,V198,0))</f>
        <v>0</v>
      </c>
      <c r="W204" s="279">
        <f>IF(Inputs!$G$88="as generated",0,IF(W201&lt;=0,W198,0))</f>
        <v>0</v>
      </c>
      <c r="X204" s="279">
        <f>IF(Inputs!$G$88="as generated",0,IF(X201&lt;=0,X198,0))</f>
        <v>0</v>
      </c>
      <c r="Y204" s="279">
        <f>IF(Inputs!$G$88="as generated",0,IF(Y201&lt;=0,Y198,0))</f>
        <v>0</v>
      </c>
      <c r="Z204" s="279">
        <f>IF(Inputs!$G$88="as generated",0,IF(Z201&lt;=0,Z198,0))</f>
        <v>0</v>
      </c>
      <c r="AA204" s="279">
        <f>IF(Inputs!$G$88="as generated",0,IF(AA201&lt;=0,AA198,0))</f>
        <v>0</v>
      </c>
      <c r="AB204" s="279">
        <f>IF(Inputs!$G$88="as generated",0,IF(AB201&lt;=0,AB198,0))</f>
        <v>0</v>
      </c>
      <c r="AC204" s="279">
        <f>IF(Inputs!$G$88="as generated",0,IF(AC201&lt;=0,AC198,0))</f>
        <v>0</v>
      </c>
      <c r="AD204" s="279">
        <f>IF(Inputs!$G$88="as generated",0,IF(AD201&lt;=0,AD198,0))</f>
        <v>0</v>
      </c>
      <c r="AE204" s="279">
        <f>IF(Inputs!$G$88="as generated",0,IF(AE201&lt;=0,AE198,0))</f>
        <v>0</v>
      </c>
      <c r="AF204" s="279">
        <f>IF(Inputs!$G$88="as generated",0,IF(AF201&lt;=0,AF198,0))</f>
        <v>0</v>
      </c>
      <c r="AG204" s="279">
        <f>IF(Inputs!$G$88="as generated",0,IF(AG201&lt;=0,AG198,0))</f>
        <v>0</v>
      </c>
      <c r="AH204" s="279">
        <f>IF(Inputs!$G$88="as generated",0,IF(AH201&lt;=0,AH198,0))</f>
        <v>0</v>
      </c>
      <c r="AI204" s="279">
        <f>IF(Inputs!$G$88="as generated",0,IF(AI201&lt;=0,AI198,0))</f>
        <v>0</v>
      </c>
      <c r="AJ204" s="279">
        <f>IF(Inputs!$G$88="as generated",0,IF(AJ201&lt;=0,AJ198,0))</f>
        <v>0</v>
      </c>
    </row>
    <row r="205" spans="2:36" s="29" customFormat="1" ht="16">
      <c r="B205" s="259" t="s">
        <v>277</v>
      </c>
      <c r="C205" s="259"/>
      <c r="D205" s="259"/>
      <c r="E205" s="259"/>
      <c r="F205" s="274"/>
      <c r="G205" s="279">
        <f>IF(Inputs!$G$88="as generated",0,IF(G$201&lt;0,MAX(G$201,-F$206),0))</f>
        <v>0</v>
      </c>
      <c r="H205" s="279">
        <f>IF(Inputs!$G$88="as generated",0,IF(H$201&lt;0,MAX(H$201,-G$206),0))</f>
        <v>0</v>
      </c>
      <c r="I205" s="279">
        <f>IF(Inputs!$G$88="as generated",0,IF(I$201&lt;0,MAX(I$201,-H$206),0))</f>
        <v>0</v>
      </c>
      <c r="J205" s="279">
        <f>IF(Inputs!$G$88="as generated",0,IF(J$201&lt;0,MAX(J$201,-I$206),0))</f>
        <v>0</v>
      </c>
      <c r="K205" s="279">
        <f>IF(Inputs!$G$88="as generated",0,IF(K$201&lt;0,MAX(K$201,-J$206),0))</f>
        <v>0</v>
      </c>
      <c r="L205" s="279">
        <f>IF(Inputs!$G$88="as generated",0,IF(L$201&lt;0,MAX(L$201,-K$206),0))</f>
        <v>0</v>
      </c>
      <c r="M205" s="279">
        <f>IF(Inputs!$G$88="as generated",0,IF(M$201&lt;0,MAX(M$201,-L$206),0))</f>
        <v>0</v>
      </c>
      <c r="N205" s="279">
        <f>IF(Inputs!$G$88="as generated",0,IF(N$201&lt;0,MAX(N$201,-M$206),0))</f>
        <v>0</v>
      </c>
      <c r="O205" s="279">
        <f>IF(Inputs!$G$88="as generated",0,IF(O$201&lt;0,MAX(O$201,-N$206),0))</f>
        <v>0</v>
      </c>
      <c r="P205" s="279">
        <f>IF(Inputs!$G$88="as generated",0,IF(P$201&lt;0,MAX(P$201,-O$206),0))</f>
        <v>0</v>
      </c>
      <c r="Q205" s="279">
        <f>IF(Inputs!$G$88="as generated",0,IF(Q$201&lt;0,MAX(Q$201,-P$206),0))</f>
        <v>0</v>
      </c>
      <c r="R205" s="279">
        <f>IF(Inputs!$G$88="as generated",0,IF(R$201&lt;0,MAX(R$201,-Q$206),0))</f>
        <v>0</v>
      </c>
      <c r="S205" s="279">
        <f>IF(Inputs!$G$88="as generated",0,IF(S$201&lt;0,MAX(S$201,-R$206),0))</f>
        <v>0</v>
      </c>
      <c r="T205" s="279">
        <f>IF(Inputs!$G$88="as generated",0,IF(T$201&lt;0,MAX(T$201,-S$206),0))</f>
        <v>0</v>
      </c>
      <c r="U205" s="279">
        <f>IF(Inputs!$G$88="as generated",0,IF(U$201&lt;0,MAX(U$201,-T$206),0))</f>
        <v>0</v>
      </c>
      <c r="V205" s="279">
        <f>IF(Inputs!$G$88="as generated",0,IF(V$201&lt;0,MAX(V$201,-U$206),0))</f>
        <v>0</v>
      </c>
      <c r="W205" s="279">
        <f>IF(Inputs!$G$88="as generated",0,IF(W$201&lt;0,MAX(W$201,-V$206),0))</f>
        <v>0</v>
      </c>
      <c r="X205" s="279">
        <f>IF(Inputs!$G$88="as generated",0,IF(X$201&lt;0,MAX(X$201,-W$206),0))</f>
        <v>0</v>
      </c>
      <c r="Y205" s="279">
        <f>IF(Inputs!$G$88="as generated",0,IF(Y$201&lt;0,MAX(Y$201,-X$206),0))</f>
        <v>0</v>
      </c>
      <c r="Z205" s="279">
        <f>IF(Inputs!$G$88="as generated",0,IF(Z$201&lt;0,MAX(Z$201,-Y$206),0))</f>
        <v>0</v>
      </c>
      <c r="AA205" s="279">
        <f>IF(Inputs!$G$88="as generated",0,IF(AA$201&lt;0,MAX(AA$201,-Z$206),0))</f>
        <v>0</v>
      </c>
      <c r="AB205" s="279">
        <f>IF(Inputs!$G$88="as generated",0,IF(AB$201&lt;0,MAX(AB$201,-AA$206),0))</f>
        <v>0</v>
      </c>
      <c r="AC205" s="279">
        <f>IF(Inputs!$G$88="as generated",0,IF(AC$201&lt;0,MAX(AC$201,-AB$206),0))</f>
        <v>0</v>
      </c>
      <c r="AD205" s="279">
        <f>IF(Inputs!$G$88="as generated",0,IF(AD$201&lt;0,MAX(AD$201,-AC$206),0))</f>
        <v>0</v>
      </c>
      <c r="AE205" s="279">
        <f>IF(Inputs!$G$88="as generated",0,IF(AE$201&lt;0,MAX(AE$201,-AD$206),0))</f>
        <v>0</v>
      </c>
      <c r="AF205" s="279">
        <f>IF(Inputs!$G$88="as generated",0,IF(AF$201&lt;0,MAX(AF$201,-AE$206),0))</f>
        <v>0</v>
      </c>
      <c r="AG205" s="279">
        <f>IF(Inputs!$G$88="as generated",0,IF(AG$201&lt;0,MAX(AG$201,-AF$206),0))</f>
        <v>0</v>
      </c>
      <c r="AH205" s="279">
        <f>IF(Inputs!$G$88="as generated",0,IF(AH$201&lt;0,MAX(AH$201,-AG$206),0))</f>
        <v>0</v>
      </c>
      <c r="AI205" s="279">
        <f>IF(Inputs!$G$88="as generated",0,IF(AI$201&lt;0,MAX(AI$201,-AH$206),0))</f>
        <v>0</v>
      </c>
      <c r="AJ205" s="279">
        <f>IF(Inputs!$G$88="as generated",0,IF(AJ$201&lt;0,MAX(AJ$201,-AI$206),0))</f>
        <v>0</v>
      </c>
    </row>
    <row r="206" spans="2:36" s="29" customFormat="1" ht="16">
      <c r="B206" s="259" t="s">
        <v>278</v>
      </c>
      <c r="C206" s="259"/>
      <c r="D206" s="259"/>
      <c r="E206" s="259"/>
      <c r="F206" s="279">
        <v>0</v>
      </c>
      <c r="G206" s="279">
        <f>SUM(G203:G205)</f>
        <v>0</v>
      </c>
      <c r="H206" s="279">
        <f t="shared" ref="H206:AJ206" si="62">SUM(H203:H205)</f>
        <v>0</v>
      </c>
      <c r="I206" s="279">
        <f t="shared" si="62"/>
        <v>0</v>
      </c>
      <c r="J206" s="279">
        <f t="shared" si="62"/>
        <v>0</v>
      </c>
      <c r="K206" s="279">
        <f t="shared" si="62"/>
        <v>0</v>
      </c>
      <c r="L206" s="279">
        <f t="shared" si="62"/>
        <v>0</v>
      </c>
      <c r="M206" s="279">
        <f t="shared" si="62"/>
        <v>0</v>
      </c>
      <c r="N206" s="279">
        <f t="shared" si="62"/>
        <v>0</v>
      </c>
      <c r="O206" s="279">
        <f t="shared" si="62"/>
        <v>0</v>
      </c>
      <c r="P206" s="279">
        <f t="shared" si="62"/>
        <v>0</v>
      </c>
      <c r="Q206" s="279">
        <f t="shared" si="62"/>
        <v>0</v>
      </c>
      <c r="R206" s="279">
        <f t="shared" si="62"/>
        <v>0</v>
      </c>
      <c r="S206" s="279">
        <f t="shared" si="62"/>
        <v>0</v>
      </c>
      <c r="T206" s="279">
        <f t="shared" si="62"/>
        <v>0</v>
      </c>
      <c r="U206" s="279">
        <f t="shared" si="62"/>
        <v>0</v>
      </c>
      <c r="V206" s="279">
        <f t="shared" si="62"/>
        <v>0</v>
      </c>
      <c r="W206" s="279">
        <f t="shared" si="62"/>
        <v>0</v>
      </c>
      <c r="X206" s="279">
        <f t="shared" si="62"/>
        <v>0</v>
      </c>
      <c r="Y206" s="279">
        <f t="shared" si="62"/>
        <v>0</v>
      </c>
      <c r="Z206" s="279">
        <f t="shared" si="62"/>
        <v>0</v>
      </c>
      <c r="AA206" s="279">
        <f t="shared" si="62"/>
        <v>0</v>
      </c>
      <c r="AB206" s="279">
        <f t="shared" si="62"/>
        <v>0</v>
      </c>
      <c r="AC206" s="279">
        <f t="shared" si="62"/>
        <v>0</v>
      </c>
      <c r="AD206" s="279">
        <f t="shared" si="62"/>
        <v>0</v>
      </c>
      <c r="AE206" s="279">
        <f t="shared" si="62"/>
        <v>0</v>
      </c>
      <c r="AF206" s="279">
        <f t="shared" si="62"/>
        <v>0</v>
      </c>
      <c r="AG206" s="279">
        <f t="shared" si="62"/>
        <v>0</v>
      </c>
      <c r="AH206" s="279">
        <f t="shared" si="62"/>
        <v>0</v>
      </c>
      <c r="AI206" s="279">
        <f t="shared" si="62"/>
        <v>0</v>
      </c>
      <c r="AJ206" s="279">
        <f t="shared" si="62"/>
        <v>0</v>
      </c>
    </row>
    <row r="207" spans="2:36" s="29" customFormat="1" ht="17" thickBot="1">
      <c r="B207" s="281"/>
      <c r="C207" s="281"/>
      <c r="D207" s="281"/>
      <c r="E207" s="281"/>
      <c r="F207" s="281"/>
      <c r="G207" s="282"/>
      <c r="H207" s="283"/>
      <c r="I207" s="281"/>
      <c r="J207" s="281"/>
      <c r="K207" s="281"/>
      <c r="L207" s="281"/>
      <c r="M207" s="281"/>
      <c r="N207" s="281"/>
      <c r="O207" s="281"/>
      <c r="P207" s="281"/>
      <c r="Q207" s="281"/>
      <c r="R207" s="281"/>
      <c r="S207" s="281"/>
      <c r="T207" s="281"/>
      <c r="U207" s="281"/>
      <c r="V207" s="281"/>
      <c r="W207" s="281"/>
      <c r="X207" s="281"/>
      <c r="Y207" s="281"/>
      <c r="Z207" s="281"/>
      <c r="AA207" s="281"/>
      <c r="AB207" s="281"/>
      <c r="AC207" s="281"/>
      <c r="AD207" s="281"/>
      <c r="AE207" s="281"/>
      <c r="AF207" s="281"/>
      <c r="AG207" s="281"/>
      <c r="AH207" s="281"/>
      <c r="AI207" s="281"/>
      <c r="AJ207" s="281"/>
    </row>
    <row r="208" spans="2:36">
      <c r="B208" s="303"/>
      <c r="C208" s="303"/>
      <c r="D208" s="303"/>
      <c r="E208" s="303"/>
      <c r="F208" s="303"/>
      <c r="G208" s="303"/>
      <c r="H208" s="303"/>
      <c r="I208" s="303"/>
      <c r="J208" s="303"/>
      <c r="K208" s="303"/>
      <c r="L208" s="303"/>
      <c r="M208" s="303"/>
      <c r="N208" s="303"/>
      <c r="O208" s="303"/>
      <c r="P208" s="303"/>
      <c r="Q208" s="303"/>
      <c r="R208" s="303"/>
      <c r="S208" s="303"/>
      <c r="T208" s="303"/>
      <c r="U208" s="303"/>
      <c r="V208" s="303"/>
      <c r="W208" s="303"/>
      <c r="X208" s="303"/>
      <c r="Y208" s="303"/>
      <c r="Z208" s="303"/>
      <c r="AA208" s="303"/>
      <c r="AB208" s="303"/>
      <c r="AC208" s="303"/>
      <c r="AD208" s="303"/>
      <c r="AE208" s="303"/>
      <c r="AF208" s="303"/>
      <c r="AG208" s="303"/>
      <c r="AH208" s="303"/>
      <c r="AI208" s="303"/>
      <c r="AJ208" s="303"/>
    </row>
    <row r="209" spans="2:36" ht="16">
      <c r="B209" s="258" t="s">
        <v>147</v>
      </c>
      <c r="C209" s="258"/>
      <c r="D209" s="258"/>
      <c r="E209" s="303"/>
      <c r="F209" s="303"/>
      <c r="G209" s="303"/>
      <c r="H209" s="303"/>
      <c r="I209" s="303"/>
      <c r="J209" s="303"/>
      <c r="K209" s="303"/>
      <c r="L209" s="303"/>
      <c r="M209" s="303"/>
      <c r="N209" s="303"/>
      <c r="O209" s="303"/>
      <c r="P209" s="303"/>
      <c r="Q209" s="303"/>
      <c r="R209" s="303"/>
      <c r="S209" s="303"/>
      <c r="T209" s="303"/>
      <c r="U209" s="303"/>
      <c r="V209" s="303"/>
      <c r="W209" s="303"/>
      <c r="X209" s="303"/>
      <c r="Y209" s="303"/>
      <c r="Z209" s="303"/>
      <c r="AA209" s="303"/>
      <c r="AB209" s="303"/>
      <c r="AC209" s="303"/>
      <c r="AD209" s="303"/>
      <c r="AE209" s="303"/>
      <c r="AF209" s="303"/>
      <c r="AG209" s="303"/>
      <c r="AH209" s="303"/>
      <c r="AI209" s="303"/>
      <c r="AJ209" s="303"/>
    </row>
    <row r="210" spans="2:36" ht="16">
      <c r="B210" s="259" t="s">
        <v>88</v>
      </c>
      <c r="C210" s="278"/>
      <c r="D210" s="278"/>
      <c r="E210" s="303"/>
      <c r="F210" s="321">
        <v>0</v>
      </c>
      <c r="G210" s="296">
        <f>F218</f>
        <v>336531.32449058129</v>
      </c>
      <c r="H210" s="296">
        <f t="shared" ref="H210:AJ210" si="63">G218</f>
        <v>336531.32449058129</v>
      </c>
      <c r="I210" s="296">
        <f t="shared" si="63"/>
        <v>336531.32449058129</v>
      </c>
      <c r="J210" s="296">
        <f t="shared" si="63"/>
        <v>336531.32449058129</v>
      </c>
      <c r="K210" s="296">
        <f t="shared" si="63"/>
        <v>336531.32449058129</v>
      </c>
      <c r="L210" s="296">
        <f t="shared" si="63"/>
        <v>336531.32449058129</v>
      </c>
      <c r="M210" s="296">
        <f t="shared" si="63"/>
        <v>336531.32449058129</v>
      </c>
      <c r="N210" s="296">
        <f t="shared" si="63"/>
        <v>336531.32449058129</v>
      </c>
      <c r="O210" s="296">
        <f t="shared" si="63"/>
        <v>336531.32449058129</v>
      </c>
      <c r="P210" s="296">
        <f t="shared" si="63"/>
        <v>336531.32449058129</v>
      </c>
      <c r="Q210" s="296">
        <f t="shared" si="63"/>
        <v>336531.32449058129</v>
      </c>
      <c r="R210" s="296">
        <f t="shared" si="63"/>
        <v>336531.32449058129</v>
      </c>
      <c r="S210" s="296">
        <f t="shared" si="63"/>
        <v>336531.32449058129</v>
      </c>
      <c r="T210" s="296">
        <f t="shared" si="63"/>
        <v>336531.32449058129</v>
      </c>
      <c r="U210" s="296">
        <f t="shared" si="63"/>
        <v>213141.38735006595</v>
      </c>
      <c r="V210" s="296">
        <f t="shared" si="63"/>
        <v>213141.38735006595</v>
      </c>
      <c r="W210" s="296">
        <f t="shared" si="63"/>
        <v>213141.38735006595</v>
      </c>
      <c r="X210" s="296">
        <f t="shared" si="63"/>
        <v>213141.38735006595</v>
      </c>
      <c r="Y210" s="296">
        <f t="shared" si="63"/>
        <v>213141.38735006595</v>
      </c>
      <c r="Z210" s="296">
        <f t="shared" si="63"/>
        <v>213141.38735006595</v>
      </c>
      <c r="AA210" s="296">
        <f t="shared" si="63"/>
        <v>-2.9103830456733704E-11</v>
      </c>
      <c r="AB210" s="296">
        <f t="shared" si="63"/>
        <v>0</v>
      </c>
      <c r="AC210" s="296">
        <f t="shared" si="63"/>
        <v>0</v>
      </c>
      <c r="AD210" s="296">
        <f t="shared" si="63"/>
        <v>0</v>
      </c>
      <c r="AE210" s="296">
        <f t="shared" si="63"/>
        <v>0</v>
      </c>
      <c r="AF210" s="296">
        <f t="shared" si="63"/>
        <v>0</v>
      </c>
      <c r="AG210" s="296">
        <f t="shared" si="63"/>
        <v>0</v>
      </c>
      <c r="AH210" s="296">
        <f t="shared" si="63"/>
        <v>0</v>
      </c>
      <c r="AI210" s="296">
        <f t="shared" si="63"/>
        <v>0</v>
      </c>
      <c r="AJ210" s="296">
        <f t="shared" si="63"/>
        <v>0</v>
      </c>
    </row>
    <row r="211" spans="2:36" ht="16">
      <c r="B211" s="278" t="s">
        <v>38</v>
      </c>
      <c r="C211" s="278"/>
      <c r="D211" s="278"/>
      <c r="E211" s="303"/>
      <c r="F211" s="296">
        <f>Inputs!$Q$81</f>
        <v>123389.93714051534</v>
      </c>
      <c r="G211" s="296">
        <f>IF(G$2=Inputs!$G$63+1,-$F$211,0)</f>
        <v>0</v>
      </c>
      <c r="H211" s="296">
        <f>IF(H$2=Inputs!$G$63+1,-$F$211,0)</f>
        <v>0</v>
      </c>
      <c r="I211" s="296">
        <f>IF(I$2=Inputs!$G$63+1,-$F$211,0)</f>
        <v>0</v>
      </c>
      <c r="J211" s="296">
        <f>IF(J$2=Inputs!$G$63+1,-$F$211,0)</f>
        <v>0</v>
      </c>
      <c r="K211" s="296">
        <f>IF(K$2=Inputs!$G$63+1,-$F$211,0)</f>
        <v>0</v>
      </c>
      <c r="L211" s="296">
        <f>IF(L$2=Inputs!$G$63+1,-$F$211,0)</f>
        <v>0</v>
      </c>
      <c r="M211" s="296">
        <f>IF(M$2=Inputs!$G$63+1,-$F$211,0)</f>
        <v>0</v>
      </c>
      <c r="N211" s="296">
        <f>IF(N$2=Inputs!$G$63+1,-$F$211,0)</f>
        <v>0</v>
      </c>
      <c r="O211" s="296">
        <f>IF(O$2=Inputs!$G$63+1,-$F$211,0)</f>
        <v>0</v>
      </c>
      <c r="P211" s="296">
        <f>IF(P$2=Inputs!$G$63+1,-$F$211,0)</f>
        <v>0</v>
      </c>
      <c r="Q211" s="296">
        <f>IF(Q$2=Inputs!$G$63+1,-$F$211,0)</f>
        <v>0</v>
      </c>
      <c r="R211" s="296">
        <f>IF(R$2=Inputs!$G$63+1,-$F$211,0)</f>
        <v>0</v>
      </c>
      <c r="S211" s="296">
        <f>IF(S$2=Inputs!$G$63+1,-$F$211,0)</f>
        <v>0</v>
      </c>
      <c r="T211" s="296">
        <f>IF(T$2=Inputs!$G$63+1,-$F$211,0)</f>
        <v>-123389.93714051534</v>
      </c>
      <c r="U211" s="296">
        <f>IF(U$2=Inputs!$G$63+1,-$F$211,0)</f>
        <v>0</v>
      </c>
      <c r="V211" s="296">
        <f>IF(V$2=Inputs!$G$63+1,-$F$211,0)</f>
        <v>0</v>
      </c>
      <c r="W211" s="296">
        <f>IF(W$2=Inputs!$G$63+1,-$F$211,0)</f>
        <v>0</v>
      </c>
      <c r="X211" s="296">
        <f>IF(X$2=Inputs!$G$63+1,-$F$211,0)</f>
        <v>0</v>
      </c>
      <c r="Y211" s="296">
        <f>IF(Y$2=Inputs!$G$63+1,-$F$211,0)</f>
        <v>0</v>
      </c>
      <c r="Z211" s="296">
        <f>IF(Z$2=Inputs!$G$63+1,-$F$211,0)</f>
        <v>0</v>
      </c>
      <c r="AA211" s="296">
        <f>IF(AA$2=Inputs!$G$63+1,-$F$211,0)</f>
        <v>0</v>
      </c>
      <c r="AB211" s="296">
        <f>IF(AB$2=Inputs!$G$63+1,-$F$211,0)</f>
        <v>0</v>
      </c>
      <c r="AC211" s="296">
        <f>IF(AC$2=Inputs!$G$63+1,-$F$211,0)</f>
        <v>0</v>
      </c>
      <c r="AD211" s="296">
        <f>IF(AD$2=Inputs!$G$63+1,-$F$211,0)</f>
        <v>0</v>
      </c>
      <c r="AE211" s="296">
        <f>IF(AE$2=Inputs!$G$63+1,-$F$211,0)</f>
        <v>0</v>
      </c>
      <c r="AF211" s="296">
        <f>IF(AF$2=Inputs!$G$63+1,-$F$211,0)</f>
        <v>0</v>
      </c>
      <c r="AG211" s="296">
        <f>IF(AG$2=Inputs!$G$63+1,-$F$211,0)</f>
        <v>0</v>
      </c>
      <c r="AH211" s="296">
        <f>IF(AH$2=Inputs!$G$63+1,-$F$211,0)</f>
        <v>0</v>
      </c>
      <c r="AI211" s="296">
        <f>IF(AI$2=Inputs!$G$63+1,-$F$211,0)</f>
        <v>0</v>
      </c>
      <c r="AJ211" s="296">
        <f>IF(AJ$2=Inputs!$G$63+1,-$F$211,0)</f>
        <v>0</v>
      </c>
    </row>
    <row r="212" spans="2:36" ht="16">
      <c r="B212" s="278" t="s">
        <v>182</v>
      </c>
      <c r="C212" s="278"/>
      <c r="D212" s="278"/>
      <c r="E212" s="303"/>
      <c r="F212" s="296">
        <f>Inputs!$Q$84</f>
        <v>213141.38735006598</v>
      </c>
      <c r="G212" s="296">
        <f>IF(G$2=Inputs!$G$18,-$F$212,0)</f>
        <v>0</v>
      </c>
      <c r="H212" s="296">
        <f>IF(H$2=Inputs!$G$18,-$F$212,0)</f>
        <v>0</v>
      </c>
      <c r="I212" s="296">
        <f>IF(I$2=Inputs!$G$18,-$F$212,0)</f>
        <v>0</v>
      </c>
      <c r="J212" s="296">
        <f>IF(J$2=Inputs!$G$18,-$F$212,0)</f>
        <v>0</v>
      </c>
      <c r="K212" s="296">
        <f>IF(K$2=Inputs!$G$18,-$F$212,0)</f>
        <v>0</v>
      </c>
      <c r="L212" s="296">
        <f>IF(L$2=Inputs!$G$18,-$F$212,0)</f>
        <v>0</v>
      </c>
      <c r="M212" s="296">
        <f>IF(M$2=Inputs!$G$18,-$F$212,0)</f>
        <v>0</v>
      </c>
      <c r="N212" s="296">
        <f>IF(N$2=Inputs!$G$18,-$F$212,0)</f>
        <v>0</v>
      </c>
      <c r="O212" s="296">
        <f>IF(O$2=Inputs!$G$18,-$F$212,0)</f>
        <v>0</v>
      </c>
      <c r="P212" s="296">
        <f>IF(P$2=Inputs!$G$18,-$F$212,0)</f>
        <v>0</v>
      </c>
      <c r="Q212" s="296">
        <f>IF(Q$2=Inputs!$G$18,-$F$212,0)</f>
        <v>0</v>
      </c>
      <c r="R212" s="296">
        <f>IF(R$2=Inputs!$G$18,-$F$212,0)</f>
        <v>0</v>
      </c>
      <c r="S212" s="296">
        <f>IF(S$2=Inputs!$G$18,-$F$212,0)</f>
        <v>0</v>
      </c>
      <c r="T212" s="296">
        <f>IF(T$2=Inputs!$G$18,-$F$212,0)</f>
        <v>0</v>
      </c>
      <c r="U212" s="296">
        <f>IF(U$2=Inputs!$G$18,-$F$212,0)</f>
        <v>0</v>
      </c>
      <c r="V212" s="296">
        <f>IF(V$2=Inputs!$G$18,-$F$212,0)</f>
        <v>0</v>
      </c>
      <c r="W212" s="296">
        <f>IF(W$2=Inputs!$G$18,-$F$212,0)</f>
        <v>0</v>
      </c>
      <c r="X212" s="296">
        <f>IF(X$2=Inputs!$G$18,-$F$212,0)</f>
        <v>0</v>
      </c>
      <c r="Y212" s="296">
        <f>IF(Y$2=Inputs!$G$18,-$F$212,0)</f>
        <v>0</v>
      </c>
      <c r="Z212" s="296">
        <f>IF(Z$2=Inputs!$G$18,-$F$212,0)</f>
        <v>-213141.38735006598</v>
      </c>
      <c r="AA212" s="296">
        <f>IF(AA$2=Inputs!$G$18,-$F$212,0)</f>
        <v>0</v>
      </c>
      <c r="AB212" s="296">
        <f>IF(AB$2=Inputs!$G$18,-$F$212,0)</f>
        <v>0</v>
      </c>
      <c r="AC212" s="296">
        <f>IF(AC$2=Inputs!$G$18,-$F$212,0)</f>
        <v>0</v>
      </c>
      <c r="AD212" s="296">
        <f>IF(AD$2=Inputs!$G$18,-$F$212,0)</f>
        <v>0</v>
      </c>
      <c r="AE212" s="296">
        <f>IF(AE$2=Inputs!$G$18,-$F$212,0)</f>
        <v>0</v>
      </c>
      <c r="AF212" s="296">
        <f>IF(AF$2=Inputs!$G$18,-$F$212,0)</f>
        <v>0</v>
      </c>
      <c r="AG212" s="296">
        <f>IF(AG$2=Inputs!$G$18,-$F$212,0)</f>
        <v>0</v>
      </c>
      <c r="AH212" s="296">
        <f>IF(AH$2=Inputs!$G$18,-$F$212,0)</f>
        <v>0</v>
      </c>
      <c r="AI212" s="296">
        <f>IF(AI$2=Inputs!$G$18,-$F$212,0)</f>
        <v>0</v>
      </c>
      <c r="AJ212" s="296">
        <f>IF(AJ$2=Inputs!$G$18,-$F$212,0)</f>
        <v>0</v>
      </c>
    </row>
    <row r="213" spans="2:36" ht="16">
      <c r="B213" s="278" t="s">
        <v>363</v>
      </c>
      <c r="C213" s="278"/>
      <c r="D213" s="669" t="s">
        <v>367</v>
      </c>
      <c r="E213" s="670">
        <v>10</v>
      </c>
      <c r="F213" s="321">
        <v>0</v>
      </c>
      <c r="G213" s="296">
        <f>IF(AND(G$2&lt;Inputs!$Q$64,(G$2+$E$213)&gt;=Inputs!$Q$64),$E$141/MIN($E213,(Inputs!$Q$64-1)),IF(G$2=Inputs!$Q$64,-($E$141),0))</f>
        <v>0</v>
      </c>
      <c r="H213" s="296">
        <f>IF(AND(H$2&lt;Inputs!$Q$64,(H$2+$E$213)&gt;=Inputs!$Q$64),$E$141/MIN($E213,(Inputs!$Q$64-1)),IF(H$2=Inputs!$Q$64,-($E$141),0))</f>
        <v>0</v>
      </c>
      <c r="I213" s="296">
        <f>IF(AND(I$2&lt;Inputs!$Q$64,(I$2+$E$213)&gt;=Inputs!$Q$64),$E$141/MIN($E213,(Inputs!$Q$64-1)),IF(I$2=Inputs!$Q$64,-($E$141),0))</f>
        <v>0</v>
      </c>
      <c r="J213" s="296">
        <f>IF(AND(J$2&lt;Inputs!$Q$64,(J$2+$E$213)&gt;=Inputs!$Q$64),$E$141/MIN($E213,(Inputs!$Q$64-1)),IF(J$2=Inputs!$Q$64,-($E$141),0))</f>
        <v>0</v>
      </c>
      <c r="K213" s="296">
        <f>IF(AND(K$2&lt;Inputs!$Q$64,(K$2+$E$213)&gt;=Inputs!$Q$64),$E$141/MIN($E213,(Inputs!$Q$64-1)),IF(K$2=Inputs!$Q$64,-($E$141),0))</f>
        <v>0</v>
      </c>
      <c r="L213" s="296">
        <f>IF(AND(L$2&lt;Inputs!$Q$64,(L$2+$E$213)&gt;=Inputs!$Q$64),$E$141/MIN($E213,(Inputs!$Q$64-1)),IF(L$2=Inputs!$Q$64,-($E$141),0))</f>
        <v>0</v>
      </c>
      <c r="M213" s="296">
        <f>IF(AND(M$2&lt;Inputs!$Q$64,(M$2+$E$213)&gt;=Inputs!$Q$64),$E$141/MIN($E213,(Inputs!$Q$64-1)),IF(M$2=Inputs!$Q$64,-($E$141),0))</f>
        <v>0</v>
      </c>
      <c r="N213" s="296">
        <f>IF(AND(N$2&lt;Inputs!$Q$64,(N$2+$E$213)&gt;=Inputs!$Q$64),$E$141/MIN($E213,(Inputs!$Q$64-1)),IF(N$2=Inputs!$Q$64,-($E$141),0))</f>
        <v>0</v>
      </c>
      <c r="O213" s="296">
        <f>IF(AND(O$2&lt;Inputs!$Q$64,(O$2+$E$213)&gt;=Inputs!$Q$64),$E$141/MIN($E213,(Inputs!$Q$64-1)),IF(O$2=Inputs!$Q$64,-($E$141),0))</f>
        <v>0</v>
      </c>
      <c r="P213" s="296">
        <f>IF(AND(P$2&lt;Inputs!$Q$64,(P$2+$E$213)&gt;=Inputs!$Q$64),$E$141/MIN($E213,(Inputs!$Q$64-1)),IF(P$2=Inputs!$Q$64,-($E$141),0))</f>
        <v>0</v>
      </c>
      <c r="Q213" s="296">
        <f>IF(AND(Q$2&lt;Inputs!$Q$64,(Q$2+$E$213)&gt;=Inputs!$Q$64),$E$141/MIN($E213,(Inputs!$Q$64-1)),IF(Q$2=Inputs!$Q$64,-($E$141),0))</f>
        <v>0</v>
      </c>
      <c r="R213" s="296">
        <f>IF(AND(R$2&lt;Inputs!$Q$64,(R$2+$E$213)&gt;=Inputs!$Q$64),$E$141/MIN($E213,(Inputs!$Q$64-1)),IF(R$2=Inputs!$Q$64,-($E$141),0))</f>
        <v>0</v>
      </c>
      <c r="S213" s="296">
        <f>IF(AND(S$2&lt;Inputs!$Q$64,(S$2+$E$213)&gt;=Inputs!$Q$64),$E$141/MIN($E213,(Inputs!$Q$64-1)),IF(S$2=Inputs!$Q$64,-($E$141),0))</f>
        <v>0</v>
      </c>
      <c r="T213" s="296">
        <f>IF(AND(T$2&lt;Inputs!$Q$64,(T$2+$E$213)&gt;=Inputs!$Q$64),$E$141/MIN($E213,(Inputs!$Q$64-1)),IF(T$2=Inputs!$Q$64,-($E$141),0))</f>
        <v>0</v>
      </c>
      <c r="U213" s="296">
        <f>IF(AND(U$2&lt;Inputs!$Q$64,(U$2+$E$213)&gt;=Inputs!$Q$64),$E$141/MIN($E213,(Inputs!$Q$64-1)),IF(U$2=Inputs!$Q$64,-($E$141),0))</f>
        <v>0</v>
      </c>
      <c r="V213" s="296">
        <f>IF(AND(V$2&lt;Inputs!$Q$64,(V$2+$E$213)&gt;=Inputs!$Q$64),$E$141/MIN($E213,(Inputs!$Q$64-1)),IF(V$2=Inputs!$Q$64,-($E$141),0))</f>
        <v>0</v>
      </c>
      <c r="W213" s="296">
        <f>IF(AND(W$2&lt;Inputs!$Q$64,(W$2+$E$213)&gt;=Inputs!$Q$64),$E$141/MIN($E213,(Inputs!$Q$64-1)),IF(W$2=Inputs!$Q$64,-($E$141),0))</f>
        <v>0</v>
      </c>
      <c r="X213" s="296">
        <f>IF(AND(X$2&lt;Inputs!$Q$64,(X$2+$E$213)&gt;=Inputs!$Q$64),$E$141/MIN($E213,(Inputs!$Q$64-1)),IF(X$2=Inputs!$Q$64,-($E$141),0))</f>
        <v>0</v>
      </c>
      <c r="Y213" s="296">
        <f>IF(AND(Y$2&lt;Inputs!$Q$64,(Y$2+$E$213)&gt;=Inputs!$Q$64),$E$141/MIN($E213,(Inputs!$Q$64-1)),IF(Y$2=Inputs!$Q$64,-($E$141),0))</f>
        <v>0</v>
      </c>
      <c r="Z213" s="296">
        <f>IF(AND(Z$2&lt;Inputs!$Q$64,(Z$2+$E$213)&gt;=Inputs!$Q$64),$E$141/MIN($E213,(Inputs!$Q$64-1)),IF(Z$2=Inputs!$Q$64,-($E$141),0))</f>
        <v>0</v>
      </c>
      <c r="AA213" s="296">
        <f>IF(AND(AA$2&lt;Inputs!$Q$64,(AA$2+$E$213)&gt;=Inputs!$Q$64),$E$141/MIN($E213,(Inputs!$Q$64-1)),IF(AA$2=Inputs!$Q$64,-($E$141),0))</f>
        <v>0</v>
      </c>
      <c r="AB213" s="296">
        <f>IF(AND(AB$2&lt;Inputs!$Q$64,(AB$2+$E$213)&gt;=Inputs!$Q$64),$E$141/MIN($E213,(Inputs!$Q$64-1)),IF(AB$2=Inputs!$Q$64,-($E$141),0))</f>
        <v>0</v>
      </c>
      <c r="AC213" s="296">
        <f>IF(AND(AC$2&lt;Inputs!$Q$64,(AC$2+$E$213)&gt;=Inputs!$Q$64),$E$141/MIN($E213,(Inputs!$Q$64-1)),IF(AC$2=Inputs!$Q$64,-($E$141),0))</f>
        <v>0</v>
      </c>
      <c r="AD213" s="296">
        <f>IF(AND(AD$2&lt;Inputs!$Q$64,(AD$2+$E$213)&gt;=Inputs!$Q$64),$E$141/MIN($E213,(Inputs!$Q$64-1)),IF(AD$2=Inputs!$Q$64,-($E$141),0))</f>
        <v>0</v>
      </c>
      <c r="AE213" s="296">
        <f>IF(AND(AE$2&lt;Inputs!$Q$64,(AE$2+$E$213)&gt;=Inputs!$Q$64),$E$141/MIN($E213,(Inputs!$Q$64-1)),IF(AE$2=Inputs!$Q$64,-($E$141),0))</f>
        <v>0</v>
      </c>
      <c r="AF213" s="296">
        <f>IF(AND(AF$2&lt;Inputs!$Q$64,(AF$2+$E$213)&gt;=Inputs!$Q$64),$E$141/MIN($E213,(Inputs!$Q$64-1)),IF(AF$2=Inputs!$Q$64,-($E$141),0))</f>
        <v>0</v>
      </c>
      <c r="AG213" s="296">
        <f>IF(AND(AG$2&lt;Inputs!$Q$64,(AG$2+$E$213)&gt;=Inputs!$Q$64),$E$141/MIN($E213,(Inputs!$Q$64-1)),IF(AG$2=Inputs!$Q$64,-($E$141),0))</f>
        <v>0</v>
      </c>
      <c r="AH213" s="296">
        <f>IF(AND(AH$2&lt;Inputs!$Q$64,(AH$2+$E$213)&gt;=Inputs!$Q$64),$E$141/MIN($E213,(Inputs!$Q$64-1)),IF(AH$2=Inputs!$Q$64,-($E$141),0))</f>
        <v>0</v>
      </c>
      <c r="AI213" s="296">
        <f>IF(AND(AI$2&lt;Inputs!$Q$64,(AI$2+$E$213)&gt;=Inputs!$Q$64),$E$141/MIN($E213,(Inputs!$Q$64-1)),IF(AI$2=Inputs!$Q$64,-($E$141),0))</f>
        <v>0</v>
      </c>
      <c r="AJ213" s="296">
        <f>IF(AND(AJ$2&lt;Inputs!$Q$64,(AJ$2+$E$213)&gt;=Inputs!$Q$64),$E$141/MIN($E213,(Inputs!$Q$64-1)),IF(AJ$2=Inputs!$Q$64,-($E$141),0))</f>
        <v>0</v>
      </c>
    </row>
    <row r="214" spans="2:36" ht="16">
      <c r="B214" s="278" t="s">
        <v>364</v>
      </c>
      <c r="C214" s="278"/>
      <c r="D214" s="669" t="s">
        <v>367</v>
      </c>
      <c r="E214" s="670">
        <v>10</v>
      </c>
      <c r="F214" s="321">
        <v>0</v>
      </c>
      <c r="G214" s="296">
        <f>IF(AND(G$2&lt;Inputs!$Q$66,(G$2+$E$214)&gt;=Inputs!$Q$66),$E$144/MIN($E214,(Inputs!$Q$66-1)),IF(G$2=Inputs!$Q$66,-($E$144),0))</f>
        <v>0</v>
      </c>
      <c r="H214" s="296">
        <f>IF(AND(H$2&lt;Inputs!$Q$66,(H$2+$E$214)&gt;=Inputs!$Q$66),$E$144/MIN($E214,(Inputs!$Q$66-1)),IF(H$2=Inputs!$Q$66,-($E$144),0))</f>
        <v>0</v>
      </c>
      <c r="I214" s="296">
        <f>IF(AND(I$2&lt;Inputs!$Q$66,(I$2+$E$214)&gt;=Inputs!$Q$66),$E$144/MIN($E214,(Inputs!$Q$66-1)),IF(I$2=Inputs!$Q$66,-($E$144),0))</f>
        <v>0</v>
      </c>
      <c r="J214" s="296">
        <f>IF(AND(J$2&lt;Inputs!$Q$66,(J$2+$E$214)&gt;=Inputs!$Q$66),$E$144/MIN($E214,(Inputs!$Q$66-1)),IF(J$2=Inputs!$Q$66,-($E$144),0))</f>
        <v>0</v>
      </c>
      <c r="K214" s="296">
        <f>IF(AND(K$2&lt;Inputs!$Q$66,(K$2+$E$214)&gt;=Inputs!$Q$66),$E$144/MIN($E214,(Inputs!$Q$66-1)),IF(K$2=Inputs!$Q$66,-($E$144),0))</f>
        <v>0</v>
      </c>
      <c r="L214" s="296">
        <f>IF(AND(L$2&lt;Inputs!$Q$66,(L$2+$E$214)&gt;=Inputs!$Q$66),$E$144/MIN($E214,(Inputs!$Q$66-1)),IF(L$2=Inputs!$Q$66,-($E$144),0))</f>
        <v>0</v>
      </c>
      <c r="M214" s="296">
        <f>IF(AND(M$2&lt;Inputs!$Q$66,(M$2+$E$214)&gt;=Inputs!$Q$66),$E$144/MIN($E214,(Inputs!$Q$66-1)),IF(M$2=Inputs!$Q$66,-($E$144),0))</f>
        <v>0</v>
      </c>
      <c r="N214" s="296">
        <f>IF(AND(N$2&lt;Inputs!$Q$66,(N$2+$E$214)&gt;=Inputs!$Q$66),$E$144/MIN($E214,(Inputs!$Q$66-1)),IF(N$2=Inputs!$Q$66,-($E$144),0))</f>
        <v>0</v>
      </c>
      <c r="O214" s="296">
        <f>IF(AND(O$2&lt;Inputs!$Q$66,(O$2+$E$214)&gt;=Inputs!$Q$66),$E$144/MIN($E214,(Inputs!$Q$66-1)),IF(O$2=Inputs!$Q$66,-($E$144),0))</f>
        <v>0</v>
      </c>
      <c r="P214" s="296">
        <f>IF(AND(P$2&lt;Inputs!$Q$66,(P$2+$E$214)&gt;=Inputs!$Q$66),$E$144/MIN($E214,(Inputs!$Q$66-1)),IF(P$2=Inputs!$Q$66,-($E$144),0))</f>
        <v>0</v>
      </c>
      <c r="Q214" s="296">
        <f>IF(AND(Q$2&lt;Inputs!$Q$66,(Q$2+$E$214)&gt;=Inputs!$Q$66),$E$144/MIN($E214,(Inputs!$Q$66-1)),IF(Q$2=Inputs!$Q$66,-($E$144),0))</f>
        <v>0</v>
      </c>
      <c r="R214" s="296">
        <f>IF(AND(R$2&lt;Inputs!$Q$66,(R$2+$E$214)&gt;=Inputs!$Q$66),$E$144/MIN($E214,(Inputs!$Q$66-1)),IF(R$2=Inputs!$Q$66,-($E$144),0))</f>
        <v>0</v>
      </c>
      <c r="S214" s="296">
        <f>IF(AND(S$2&lt;Inputs!$Q$66,(S$2+$E$214)&gt;=Inputs!$Q$66),$E$144/MIN($E214,(Inputs!$Q$66-1)),IF(S$2=Inputs!$Q$66,-($E$144),0))</f>
        <v>0</v>
      </c>
      <c r="T214" s="296">
        <f>IF(AND(T$2&lt;Inputs!$Q$66,(T$2+$E$214)&gt;=Inputs!$Q$66),$E$144/MIN($E214,(Inputs!$Q$66-1)),IF(T$2=Inputs!$Q$66,-($E$144),0))</f>
        <v>0</v>
      </c>
      <c r="U214" s="296">
        <f>IF(AND(U$2&lt;Inputs!$Q$66,(U$2+$E$214)&gt;=Inputs!$Q$66),$E$144/MIN($E214,(Inputs!$Q$66-1)),IF(U$2=Inputs!$Q$66,-($E$144),0))</f>
        <v>0</v>
      </c>
      <c r="V214" s="296">
        <f>IF(AND(V$2&lt;Inputs!$Q$66,(V$2+$E$214)&gt;=Inputs!$Q$66),$E$144/MIN($E214,(Inputs!$Q$66-1)),IF(V$2=Inputs!$Q$66,-($E$144),0))</f>
        <v>0</v>
      </c>
      <c r="W214" s="296">
        <f>IF(AND(W$2&lt;Inputs!$Q$66,(W$2+$E$214)&gt;=Inputs!$Q$66),$E$144/MIN($E214,(Inputs!$Q$66-1)),IF(W$2=Inputs!$Q$66,-($E$144),0))</f>
        <v>0</v>
      </c>
      <c r="X214" s="296">
        <f>IF(AND(X$2&lt;Inputs!$Q$66,(X$2+$E$214)&gt;=Inputs!$Q$66),$E$144/MIN($E214,(Inputs!$Q$66-1)),IF(X$2=Inputs!$Q$66,-($E$144),0))</f>
        <v>0</v>
      </c>
      <c r="Y214" s="296">
        <f>IF(AND(Y$2&lt;Inputs!$Q$66,(Y$2+$E$214)&gt;=Inputs!$Q$66),$E$144/MIN($E214,(Inputs!$Q$66-1)),IF(Y$2=Inputs!$Q$66,-($E$144),0))</f>
        <v>0</v>
      </c>
      <c r="Z214" s="296">
        <f>IF(AND(Z$2&lt;Inputs!$Q$66,(Z$2+$E$214)&gt;=Inputs!$Q$66),$E$144/MIN($E214,(Inputs!$Q$66-1)),IF(Z$2=Inputs!$Q$66,-($E$144),0))</f>
        <v>0</v>
      </c>
      <c r="AA214" s="296">
        <f>IF(AND(AA$2&lt;Inputs!$Q$66,(AA$2+$E$214)&gt;=Inputs!$Q$66),$E$144/MIN($E214,(Inputs!$Q$66-1)),IF(AA$2=Inputs!$Q$66,-($E$144),0))</f>
        <v>0</v>
      </c>
      <c r="AB214" s="296">
        <f>IF(AND(AB$2&lt;Inputs!$Q$66,(AB$2+$E$214)&gt;=Inputs!$Q$66),$E$144/MIN($E214,(Inputs!$Q$66-1)),IF(AB$2=Inputs!$Q$66,-($E$144),0))</f>
        <v>0</v>
      </c>
      <c r="AC214" s="296">
        <f>IF(AND(AC$2&lt;Inputs!$Q$66,(AC$2+$E$214)&gt;=Inputs!$Q$66),$E$144/MIN($E214,(Inputs!$Q$66-1)),IF(AC$2=Inputs!$Q$66,-($E$144),0))</f>
        <v>0</v>
      </c>
      <c r="AD214" s="296">
        <f>IF(AND(AD$2&lt;Inputs!$Q$66,(AD$2+$E$214)&gt;=Inputs!$Q$66),$E$144/MIN($E214,(Inputs!$Q$66-1)),IF(AD$2=Inputs!$Q$66,-($E$144),0))</f>
        <v>0</v>
      </c>
      <c r="AE214" s="296">
        <f>IF(AND(AE$2&lt;Inputs!$Q$66,(AE$2+$E$214)&gt;=Inputs!$Q$66),$E$144/MIN($E214,(Inputs!$Q$66-1)),IF(AE$2=Inputs!$Q$66,-($E$144),0))</f>
        <v>0</v>
      </c>
      <c r="AF214" s="296">
        <f>IF(AND(AF$2&lt;Inputs!$Q$66,(AF$2+$E$214)&gt;=Inputs!$Q$66),$E$144/MIN($E214,(Inputs!$Q$66-1)),IF(AF$2=Inputs!$Q$66,-($E$144),0))</f>
        <v>0</v>
      </c>
      <c r="AG214" s="296">
        <f>IF(AND(AG$2&lt;Inputs!$Q$66,(AG$2+$E$214)&gt;=Inputs!$Q$66),$E$144/MIN($E214,(Inputs!$Q$66-1)),IF(AG$2=Inputs!$Q$66,-($E$144),0))</f>
        <v>0</v>
      </c>
      <c r="AH214" s="296">
        <f>IF(AND(AH$2&lt;Inputs!$Q$66,(AH$2+$E$214)&gt;=Inputs!$Q$66),$E$144/MIN($E214,(Inputs!$Q$66-1)),IF(AH$2=Inputs!$Q$66,-($E$144),0))</f>
        <v>0</v>
      </c>
      <c r="AI214" s="296">
        <f>IF(AND(AI$2&lt;Inputs!$Q$66,(AI$2+$E$214)&gt;=Inputs!$Q$66),$E$144/MIN($E214,(Inputs!$Q$66-1)),IF(AI$2=Inputs!$Q$66,-($E$144),0))</f>
        <v>0</v>
      </c>
      <c r="AJ214" s="296">
        <f>IF(AND(AJ$2&lt;Inputs!$Q$66,(AJ$2+$E$214)&gt;=Inputs!$Q$66),$E$144/MIN($E214,(Inputs!$Q$66-1)),IF(AJ$2=Inputs!$Q$66,-($E$144),0))</f>
        <v>0</v>
      </c>
    </row>
    <row r="215" spans="2:36" ht="16">
      <c r="B215" s="278" t="s">
        <v>365</v>
      </c>
      <c r="C215" s="278"/>
      <c r="D215" s="669" t="s">
        <v>367</v>
      </c>
      <c r="E215" s="670">
        <v>10</v>
      </c>
      <c r="F215" s="321">
        <v>0</v>
      </c>
      <c r="G215" s="296">
        <f>IF(AND(G$2&lt;Inputs!$Q$68,(G$2+$E$215)&gt;=Inputs!$Q$68),$E$147/MIN($E215,(Inputs!$Q$68-1)),IF(G$2=Inputs!$Q$68,-($E$147),0))</f>
        <v>0</v>
      </c>
      <c r="H215" s="296">
        <f>IF(AND(H$2&lt;Inputs!$Q$68,(H$2+$E$215)&gt;=Inputs!$Q$68),$E$147/MIN($E215,(Inputs!$Q$68-1)),IF(H$2=Inputs!$Q$68,-($E$147),0))</f>
        <v>0</v>
      </c>
      <c r="I215" s="296">
        <f>IF(AND(I$2&lt;Inputs!$Q$68,(I$2+$E$215)&gt;=Inputs!$Q$68),$E$147/MIN($E215,(Inputs!$Q$68-1)),IF(I$2=Inputs!$Q$68,-($E$147),0))</f>
        <v>0</v>
      </c>
      <c r="J215" s="296">
        <f>IF(AND(J$2&lt;Inputs!$Q$68,(J$2+$E$215)&gt;=Inputs!$Q$68),$E$147/MIN($E215,(Inputs!$Q$68-1)),IF(J$2=Inputs!$Q$68,-($E$147),0))</f>
        <v>0</v>
      </c>
      <c r="K215" s="296">
        <f>IF(AND(K$2&lt;Inputs!$Q$68,(K$2+$E$215)&gt;=Inputs!$Q$68),$E$147/MIN($E215,(Inputs!$Q$68-1)),IF(K$2=Inputs!$Q$68,-($E$147),0))</f>
        <v>0</v>
      </c>
      <c r="L215" s="296">
        <f>IF(AND(L$2&lt;Inputs!$Q$68,(L$2+$E$215)&gt;=Inputs!$Q$68),$E$147/MIN($E215,(Inputs!$Q$68-1)),IF(L$2=Inputs!$Q$68,-($E$147),0))</f>
        <v>0</v>
      </c>
      <c r="M215" s="296">
        <f>IF(AND(M$2&lt;Inputs!$Q$68,(M$2+$E$215)&gt;=Inputs!$Q$68),$E$147/MIN($E215,(Inputs!$Q$68-1)),IF(M$2=Inputs!$Q$68,-($E$147),0))</f>
        <v>0</v>
      </c>
      <c r="N215" s="296">
        <f>IF(AND(N$2&lt;Inputs!$Q$68,(N$2+$E$215)&gt;=Inputs!$Q$68),$E$147/MIN($E215,(Inputs!$Q$68-1)),IF(N$2=Inputs!$Q$68,-($E$147),0))</f>
        <v>0</v>
      </c>
      <c r="O215" s="296">
        <f>IF(AND(O$2&lt;Inputs!$Q$68,(O$2+$E$215)&gt;=Inputs!$Q$68),$E$147/MIN($E215,(Inputs!$Q$68-1)),IF(O$2=Inputs!$Q$68,-($E$147),0))</f>
        <v>0</v>
      </c>
      <c r="P215" s="296">
        <f>IF(AND(P$2&lt;Inputs!$Q$68,(P$2+$E$215)&gt;=Inputs!$Q$68),$E$147/MIN($E215,(Inputs!$Q$68-1)),IF(P$2=Inputs!$Q$68,-($E$147),0))</f>
        <v>0</v>
      </c>
      <c r="Q215" s="296">
        <f>IF(AND(Q$2&lt;Inputs!$Q$68,(Q$2+$E$215)&gt;=Inputs!$Q$68),$E$147/MIN($E215,(Inputs!$Q$68-1)),IF(Q$2=Inputs!$Q$68,-($E$147),0))</f>
        <v>0</v>
      </c>
      <c r="R215" s="296">
        <f>IF(AND(R$2&lt;Inputs!$Q$68,(R$2+$E$215)&gt;=Inputs!$Q$68),$E$147/MIN($E215,(Inputs!$Q$68-1)),IF(R$2=Inputs!$Q$68,-($E$147),0))</f>
        <v>0</v>
      </c>
      <c r="S215" s="296">
        <f>IF(AND(S$2&lt;Inputs!$Q$68,(S$2+$E$215)&gt;=Inputs!$Q$68),$E$147/MIN($E215,(Inputs!$Q$68-1)),IF(S$2=Inputs!$Q$68,-($E$147),0))</f>
        <v>0</v>
      </c>
      <c r="T215" s="296">
        <f>IF(AND(T$2&lt;Inputs!$Q$68,(T$2+$E$215)&gt;=Inputs!$Q$68),$E$147/MIN($E215,(Inputs!$Q$68-1)),IF(T$2=Inputs!$Q$68,-($E$147),0))</f>
        <v>0</v>
      </c>
      <c r="U215" s="296">
        <f>IF(AND(U$2&lt;Inputs!$Q$68,(U$2+$E$215)&gt;=Inputs!$Q$68),$E$147/MIN($E215,(Inputs!$Q$68-1)),IF(U$2=Inputs!$Q$68,-($E$147),0))</f>
        <v>0</v>
      </c>
      <c r="V215" s="296">
        <f>IF(AND(V$2&lt;Inputs!$Q$68,(V$2+$E$215)&gt;=Inputs!$Q$68),$E$147/MIN($E215,(Inputs!$Q$68-1)),IF(V$2=Inputs!$Q$68,-($E$147),0))</f>
        <v>0</v>
      </c>
      <c r="W215" s="296">
        <f>IF(AND(W$2&lt;Inputs!$Q$68,(W$2+$E$215)&gt;=Inputs!$Q$68),$E$147/MIN($E215,(Inputs!$Q$68-1)),IF(W$2=Inputs!$Q$68,-($E$147),0))</f>
        <v>0</v>
      </c>
      <c r="X215" s="296">
        <f>IF(AND(X$2&lt;Inputs!$Q$68,(X$2+$E$215)&gt;=Inputs!$Q$68),$E$147/MIN($E215,(Inputs!$Q$68-1)),IF(X$2=Inputs!$Q$68,-($E$147),0))</f>
        <v>0</v>
      </c>
      <c r="Y215" s="296">
        <f>IF(AND(Y$2&lt;Inputs!$Q$68,(Y$2+$E$215)&gt;=Inputs!$Q$68),$E$147/MIN($E215,(Inputs!$Q$68-1)),IF(Y$2=Inputs!$Q$68,-($E$147),0))</f>
        <v>0</v>
      </c>
      <c r="Z215" s="296">
        <f>IF(AND(Z$2&lt;Inputs!$Q$68,(Z$2+$E$215)&gt;=Inputs!$Q$68),$E$147/MIN($E215,(Inputs!$Q$68-1)),IF(Z$2=Inputs!$Q$68,-($E$147),0))</f>
        <v>0</v>
      </c>
      <c r="AA215" s="296">
        <f>IF(AND(AA$2&lt;Inputs!$Q$68,(AA$2+$E$215)&gt;=Inputs!$Q$68),$E$147/MIN($E215,(Inputs!$Q$68-1)),IF(AA$2=Inputs!$Q$68,-($E$147),0))</f>
        <v>0</v>
      </c>
      <c r="AB215" s="296">
        <f>IF(AND(AB$2&lt;Inputs!$Q$68,(AB$2+$E$215)&gt;=Inputs!$Q$68),$E$147/MIN($E215,(Inputs!$Q$68-1)),IF(AB$2=Inputs!$Q$68,-($E$147),0))</f>
        <v>0</v>
      </c>
      <c r="AC215" s="296">
        <f>IF(AND(AC$2&lt;Inputs!$Q$68,(AC$2+$E$215)&gt;=Inputs!$Q$68),$E$147/MIN($E215,(Inputs!$Q$68-1)),IF(AC$2=Inputs!$Q$68,-($E$147),0))</f>
        <v>0</v>
      </c>
      <c r="AD215" s="296">
        <f>IF(AND(AD$2&lt;Inputs!$Q$68,(AD$2+$E$215)&gt;=Inputs!$Q$68),$E$147/MIN($E215,(Inputs!$Q$68-1)),IF(AD$2=Inputs!$Q$68,-($E$147),0))</f>
        <v>0</v>
      </c>
      <c r="AE215" s="296">
        <f>IF(AND(AE$2&lt;Inputs!$Q$68,(AE$2+$E$215)&gt;=Inputs!$Q$68),$E$147/MIN($E215,(Inputs!$Q$68-1)),IF(AE$2=Inputs!$Q$68,-($E$147),0))</f>
        <v>0</v>
      </c>
      <c r="AF215" s="296">
        <f>IF(AND(AF$2&lt;Inputs!$Q$68,(AF$2+$E$215)&gt;=Inputs!$Q$68),$E$147/MIN($E215,(Inputs!$Q$68-1)),IF(AF$2=Inputs!$Q$68,-($E$147),0))</f>
        <v>0</v>
      </c>
      <c r="AG215" s="296">
        <f>IF(AND(AG$2&lt;Inputs!$Q$68,(AG$2+$E$215)&gt;=Inputs!$Q$68),$E$147/MIN($E215,(Inputs!$Q$68-1)),IF(AG$2=Inputs!$Q$68,-($E$147),0))</f>
        <v>0</v>
      </c>
      <c r="AH215" s="296">
        <f>IF(AND(AH$2&lt;Inputs!$Q$68,(AH$2+$E$215)&gt;=Inputs!$Q$68),$E$147/MIN($E215,(Inputs!$Q$68-1)),IF(AH$2=Inputs!$Q$68,-($E$147),0))</f>
        <v>0</v>
      </c>
      <c r="AI215" s="296">
        <f>IF(AND(AI$2&lt;Inputs!$Q$68,(AI$2+$E$215)&gt;=Inputs!$Q$68),$E$147/MIN($E215,(Inputs!$Q$68-1)),IF(AI$2=Inputs!$Q$68,-($E$147),0))</f>
        <v>0</v>
      </c>
      <c r="AJ215" s="296">
        <f>IF(AND(AJ$2&lt;Inputs!$Q$68,(AJ$2+$E$215)&gt;=Inputs!$Q$68),$E$147/MIN($E215,(Inputs!$Q$68-1)),IF(AJ$2=Inputs!$Q$68,-($E$147),0))</f>
        <v>0</v>
      </c>
    </row>
    <row r="216" spans="2:36" ht="16">
      <c r="B216" s="278" t="s">
        <v>366</v>
      </c>
      <c r="C216" s="278"/>
      <c r="D216" s="669" t="s">
        <v>367</v>
      </c>
      <c r="E216" s="670">
        <v>10</v>
      </c>
      <c r="F216" s="321">
        <v>0</v>
      </c>
      <c r="G216" s="296">
        <f>IF(AND(G$2&lt;Inputs!$Q$70,(G$2+$E$216)&gt;=Inputs!$Q$70),$E$150/MIN($E216,(Inputs!$Q$70-1)),IF(G$2=Inputs!$Q$70,-($E$150),0))</f>
        <v>0</v>
      </c>
      <c r="H216" s="296">
        <f>IF(AND(H$2&lt;Inputs!$Q$70,(H$2+$E$216)&gt;=Inputs!$Q$70),$E$150/MIN($E216,(Inputs!$Q$70-1)),IF(H$2=Inputs!$Q$70,-($E$150),0))</f>
        <v>0</v>
      </c>
      <c r="I216" s="296">
        <f>IF(AND(I$2&lt;Inputs!$Q$70,(I$2+$E$216)&gt;=Inputs!$Q$70),$E$150/MIN($E216,(Inputs!$Q$70-1)),IF(I$2=Inputs!$Q$70,-($E$150),0))</f>
        <v>0</v>
      </c>
      <c r="J216" s="296">
        <f>IF(AND(J$2&lt;Inputs!$Q$70,(J$2+$E$216)&gt;=Inputs!$Q$70),$E$150/MIN($E216,(Inputs!$Q$70-1)),IF(J$2=Inputs!$Q$70,-($E$150),0))</f>
        <v>0</v>
      </c>
      <c r="K216" s="296">
        <f>IF(AND(K$2&lt;Inputs!$Q$70,(K$2+$E$216)&gt;=Inputs!$Q$70),$E$150/MIN($E216,(Inputs!$Q$70-1)),IF(K$2=Inputs!$Q$70,-($E$150),0))</f>
        <v>0</v>
      </c>
      <c r="L216" s="296">
        <f>IF(AND(L$2&lt;Inputs!$Q$70,(L$2+$E$216)&gt;=Inputs!$Q$70),$E$150/MIN($E216,(Inputs!$Q$70-1)),IF(L$2=Inputs!$Q$70,-($E$150),0))</f>
        <v>0</v>
      </c>
      <c r="M216" s="296">
        <f>IF(AND(M$2&lt;Inputs!$Q$70,(M$2+$E$216)&gt;=Inputs!$Q$70),$E$150/MIN($E216,(Inputs!$Q$70-1)),IF(M$2=Inputs!$Q$70,-($E$150),0))</f>
        <v>0</v>
      </c>
      <c r="N216" s="296">
        <f>IF(AND(N$2&lt;Inputs!$Q$70,(N$2+$E$216)&gt;=Inputs!$Q$70),$E$150/MIN($E216,(Inputs!$Q$70-1)),IF(N$2=Inputs!$Q$70,-($E$150),0))</f>
        <v>0</v>
      </c>
      <c r="O216" s="296">
        <f>IF(AND(O$2&lt;Inputs!$Q$70,(O$2+$E$216)&gt;=Inputs!$Q$70),$E$150/MIN($E216,(Inputs!$Q$70-1)),IF(O$2=Inputs!$Q$70,-($E$150),0))</f>
        <v>0</v>
      </c>
      <c r="P216" s="296">
        <f>IF(AND(P$2&lt;Inputs!$Q$70,(P$2+$E$216)&gt;=Inputs!$Q$70),$E$150/MIN($E216,(Inputs!$Q$70-1)),IF(P$2=Inputs!$Q$70,-($E$150),0))</f>
        <v>0</v>
      </c>
      <c r="Q216" s="296">
        <f>IF(AND(Q$2&lt;Inputs!$Q$70,(Q$2+$E$216)&gt;=Inputs!$Q$70),$E$150/MIN($E216,(Inputs!$Q$70-1)),IF(Q$2=Inputs!$Q$70,-($E$150),0))</f>
        <v>0</v>
      </c>
      <c r="R216" s="296">
        <f>IF(AND(R$2&lt;Inputs!$Q$70,(R$2+$E$216)&gt;=Inputs!$Q$70),$E$150/MIN($E216,(Inputs!$Q$70-1)),IF(R$2=Inputs!$Q$70,-($E$150),0))</f>
        <v>0</v>
      </c>
      <c r="S216" s="296">
        <f>IF(AND(S$2&lt;Inputs!$Q$70,(S$2+$E$216)&gt;=Inputs!$Q$70),$E$150/MIN($E216,(Inputs!$Q$70-1)),IF(S$2=Inputs!$Q$70,-($E$150),0))</f>
        <v>0</v>
      </c>
      <c r="T216" s="296">
        <f>IF(AND(T$2&lt;Inputs!$Q$70,(T$2+$E$216)&gt;=Inputs!$Q$70),$E$150/MIN($E216,(Inputs!$Q$70-1)),IF(T$2=Inputs!$Q$70,-($E$150),0))</f>
        <v>0</v>
      </c>
      <c r="U216" s="296">
        <f>IF(AND(U$2&lt;Inputs!$Q$70,(U$2+$E$216)&gt;=Inputs!$Q$70),$E$150/MIN($E216,(Inputs!$Q$70-1)),IF(U$2=Inputs!$Q$70,-($E$150),0))</f>
        <v>0</v>
      </c>
      <c r="V216" s="296">
        <f>IF(AND(V$2&lt;Inputs!$Q$70,(V$2+$E$216)&gt;=Inputs!$Q$70),$E$150/MIN($E216,(Inputs!$Q$70-1)),IF(V$2=Inputs!$Q$70,-($E$150),0))</f>
        <v>0</v>
      </c>
      <c r="W216" s="296">
        <f>IF(AND(W$2&lt;Inputs!$Q$70,(W$2+$E$216)&gt;=Inputs!$Q$70),$E$150/MIN($E216,(Inputs!$Q$70-1)),IF(W$2=Inputs!$Q$70,-($E$150),0))</f>
        <v>0</v>
      </c>
      <c r="X216" s="296">
        <f>IF(AND(X$2&lt;Inputs!$Q$70,(X$2+$E$216)&gt;=Inputs!$Q$70),$E$150/MIN($E216,(Inputs!$Q$70-1)),IF(X$2=Inputs!$Q$70,-($E$150),0))</f>
        <v>0</v>
      </c>
      <c r="Y216" s="296">
        <f>IF(AND(Y$2&lt;Inputs!$Q$70,(Y$2+$E$216)&gt;=Inputs!$Q$70),$E$150/MIN($E216,(Inputs!$Q$70-1)),IF(Y$2=Inputs!$Q$70,-($E$150),0))</f>
        <v>0</v>
      </c>
      <c r="Z216" s="296">
        <f>IF(AND(Z$2&lt;Inputs!$Q$70,(Z$2+$E$216)&gt;=Inputs!$Q$70),$E$150/MIN($E216,(Inputs!$Q$70-1)),IF(Z$2=Inputs!$Q$70,-($E$150),0))</f>
        <v>0</v>
      </c>
      <c r="AA216" s="296">
        <f>IF(AND(AA$2&lt;Inputs!$Q$70,(AA$2+$E$216)&gt;=Inputs!$Q$70),$E$150/MIN($E216,(Inputs!$Q$70-1)),IF(AA$2=Inputs!$Q$70,-($E$150),0))</f>
        <v>0</v>
      </c>
      <c r="AB216" s="296">
        <f>IF(AND(AB$2&lt;Inputs!$Q$70,(AB$2+$E$216)&gt;=Inputs!$Q$70),$E$150/MIN($E216,(Inputs!$Q$70-1)),IF(AB$2=Inputs!$Q$70,-($E$150),0))</f>
        <v>0</v>
      </c>
      <c r="AC216" s="296">
        <f>IF(AND(AC$2&lt;Inputs!$Q$70,(AC$2+$E$216)&gt;=Inputs!$Q$70),$E$150/MIN($E216,(Inputs!$Q$70-1)),IF(AC$2=Inputs!$Q$70,-($E$150),0))</f>
        <v>0</v>
      </c>
      <c r="AD216" s="296">
        <f>IF(AND(AD$2&lt;Inputs!$Q$70,(AD$2+$E$216)&gt;=Inputs!$Q$70),$E$150/MIN($E216,(Inputs!$Q$70-1)),IF(AD$2=Inputs!$Q$70,-($E$150),0))</f>
        <v>0</v>
      </c>
      <c r="AE216" s="296">
        <f>IF(AND(AE$2&lt;Inputs!$Q$70,(AE$2+$E$216)&gt;=Inputs!$Q$70),$E$150/MIN($E216,(Inputs!$Q$70-1)),IF(AE$2=Inputs!$Q$70,-($E$150),0))</f>
        <v>0</v>
      </c>
      <c r="AF216" s="296">
        <f>IF(AND(AF$2&lt;Inputs!$Q$70,(AF$2+$E$216)&gt;=Inputs!$Q$70),$E$150/MIN($E216,(Inputs!$Q$70-1)),IF(AF$2=Inputs!$Q$70,-($E$150),0))</f>
        <v>0</v>
      </c>
      <c r="AG216" s="296">
        <f>IF(AND(AG$2&lt;Inputs!$Q$70,(AG$2+$E$216)&gt;=Inputs!$Q$70),$E$150/MIN($E216,(Inputs!$Q$70-1)),IF(AG$2=Inputs!$Q$70,-($E$150),0))</f>
        <v>0</v>
      </c>
      <c r="AH216" s="296">
        <f>IF(AND(AH$2&lt;Inputs!$Q$70,(AH$2+$E$216)&gt;=Inputs!$Q$70),$E$150/MIN($E216,(Inputs!$Q$70-1)),IF(AH$2=Inputs!$Q$70,-($E$150),0))</f>
        <v>0</v>
      </c>
      <c r="AI216" s="296">
        <f>IF(AND(AI$2&lt;Inputs!$Q$70,(AI$2+$E$216)&gt;=Inputs!$Q$70),$E$150/MIN($E216,(Inputs!$Q$70-1)),IF(AI$2=Inputs!$Q$70,-($E$150),0))</f>
        <v>0</v>
      </c>
      <c r="AJ216" s="296">
        <f>IF(AND(AJ$2&lt;Inputs!$Q$70,(AJ$2+$E$216)&gt;=Inputs!$Q$70),$E$150/MIN($E216,(Inputs!$Q$70-1)),IF(AJ$2=Inputs!$Q$70,-($E$150),0))</f>
        <v>0</v>
      </c>
    </row>
    <row r="217" spans="2:36" ht="16">
      <c r="B217" s="278" t="s">
        <v>43</v>
      </c>
      <c r="C217" s="278"/>
      <c r="D217" s="278"/>
      <c r="E217" s="303"/>
      <c r="F217" s="321">
        <v>0</v>
      </c>
      <c r="G217" s="296">
        <f>IF(OR(G$2&gt;Inputs!$G$18,Inputs!$Q$75="salvage"),0,Inputs!$Q$76/Inputs!$Q$22)</f>
        <v>0</v>
      </c>
      <c r="H217" s="296">
        <f>IF(OR(H$2&gt;Inputs!$G$18,Inputs!$Q$75="salvage"),0,Inputs!$Q$76/Inputs!$Q$22)</f>
        <v>0</v>
      </c>
      <c r="I217" s="296">
        <f>IF(OR(I$2&gt;Inputs!$G$18,Inputs!$Q$75="salvage"),0,Inputs!$Q$76/Inputs!$Q$22)</f>
        <v>0</v>
      </c>
      <c r="J217" s="296">
        <f>IF(OR(J$2&gt;Inputs!$G$18,Inputs!$Q$75="salvage"),0,Inputs!$Q$76/Inputs!$Q$22)</f>
        <v>0</v>
      </c>
      <c r="K217" s="296">
        <f>IF(OR(K$2&gt;Inputs!$G$18,Inputs!$Q$75="salvage"),0,Inputs!$Q$76/Inputs!$Q$22)</f>
        <v>0</v>
      </c>
      <c r="L217" s="296">
        <f>IF(OR(L$2&gt;Inputs!$G$18,Inputs!$Q$75="salvage"),0,Inputs!$Q$76/Inputs!$Q$22)</f>
        <v>0</v>
      </c>
      <c r="M217" s="296">
        <f>IF(OR(M$2&gt;Inputs!$G$18,Inputs!$Q$75="salvage"),0,Inputs!$Q$76/Inputs!$Q$22)</f>
        <v>0</v>
      </c>
      <c r="N217" s="296">
        <f>IF(OR(N$2&gt;Inputs!$G$18,Inputs!$Q$75="salvage"),0,Inputs!$Q$76/Inputs!$Q$22)</f>
        <v>0</v>
      </c>
      <c r="O217" s="296">
        <f>IF(OR(O$2&gt;Inputs!$G$18,Inputs!$Q$75="salvage"),0,Inputs!$Q$76/Inputs!$Q$22)</f>
        <v>0</v>
      </c>
      <c r="P217" s="296">
        <f>IF(OR(P$2&gt;Inputs!$G$18,Inputs!$Q$75="salvage"),0,Inputs!$Q$76/Inputs!$Q$22)</f>
        <v>0</v>
      </c>
      <c r="Q217" s="296">
        <f>IF(OR(Q$2&gt;Inputs!$G$18,Inputs!$Q$75="salvage"),0,Inputs!$Q$76/Inputs!$Q$22)</f>
        <v>0</v>
      </c>
      <c r="R217" s="296">
        <f>IF(OR(R$2&gt;Inputs!$G$18,Inputs!$Q$75="salvage"),0,Inputs!$Q$76/Inputs!$Q$22)</f>
        <v>0</v>
      </c>
      <c r="S217" s="296">
        <f>IF(OR(S$2&gt;Inputs!$G$18,Inputs!$Q$75="salvage"),0,Inputs!$Q$76/Inputs!$Q$22)</f>
        <v>0</v>
      </c>
      <c r="T217" s="296">
        <f>IF(OR(T$2&gt;Inputs!$G$18,Inputs!$Q$75="salvage"),0,Inputs!$Q$76/Inputs!$Q$22)</f>
        <v>0</v>
      </c>
      <c r="U217" s="296">
        <f>IF(OR(U$2&gt;Inputs!$G$18,Inputs!$Q$75="salvage"),0,Inputs!$Q$76/Inputs!$Q$22)</f>
        <v>0</v>
      </c>
      <c r="V217" s="296">
        <f>IF(OR(V$2&gt;Inputs!$G$18,Inputs!$Q$75="salvage"),0,Inputs!$Q$76/Inputs!$Q$22)</f>
        <v>0</v>
      </c>
      <c r="W217" s="296">
        <f>IF(OR(W$2&gt;Inputs!$G$18,Inputs!$Q$75="salvage"),0,Inputs!$Q$76/Inputs!$Q$22)</f>
        <v>0</v>
      </c>
      <c r="X217" s="296">
        <f>IF(OR(X$2&gt;Inputs!$G$18,Inputs!$Q$75="salvage"),0,Inputs!$Q$76/Inputs!$Q$22)</f>
        <v>0</v>
      </c>
      <c r="Y217" s="296">
        <f>IF(OR(Y$2&gt;Inputs!$G$18,Inputs!$Q$75="salvage"),0,Inputs!$Q$76/Inputs!$Q$22)</f>
        <v>0</v>
      </c>
      <c r="Z217" s="296">
        <f>IF(OR(Z$2&gt;Inputs!$G$18,Inputs!$Q$75="salvage"),0,Inputs!$Q$76/Inputs!$Q$22)</f>
        <v>0</v>
      </c>
      <c r="AA217" s="296">
        <f>IF(OR(AA$2&gt;Inputs!$G$18,Inputs!$Q$75="salvage"),0,Inputs!$Q$76/Inputs!$Q$22)</f>
        <v>0</v>
      </c>
      <c r="AB217" s="296">
        <f>IF(OR(AB$2&gt;Inputs!$G$18,Inputs!$Q$75="salvage"),0,Inputs!$Q$76/Inputs!$Q$22)</f>
        <v>0</v>
      </c>
      <c r="AC217" s="296">
        <f>IF(OR(AC$2&gt;Inputs!$G$18,Inputs!$Q$75="salvage"),0,Inputs!$Q$76/Inputs!$Q$22)</f>
        <v>0</v>
      </c>
      <c r="AD217" s="296">
        <f>IF(OR(AD$2&gt;Inputs!$G$18,Inputs!$Q$75="salvage"),0,Inputs!$Q$76/Inputs!$Q$22)</f>
        <v>0</v>
      </c>
      <c r="AE217" s="296">
        <f>IF(OR(AE$2&gt;Inputs!$G$18,Inputs!$Q$75="salvage"),0,Inputs!$Q$76/Inputs!$Q$22)</f>
        <v>0</v>
      </c>
      <c r="AF217" s="296">
        <f>IF(OR(AF$2&gt;Inputs!$G$18,Inputs!$Q$75="salvage"),0,Inputs!$Q$76/Inputs!$Q$22)</f>
        <v>0</v>
      </c>
      <c r="AG217" s="296">
        <f>IF(OR(AG$2&gt;Inputs!$G$18,Inputs!$Q$75="salvage"),0,Inputs!$Q$76/Inputs!$Q$22)</f>
        <v>0</v>
      </c>
      <c r="AH217" s="296">
        <f>IF(OR(AH$2&gt;Inputs!$G$18,Inputs!$Q$75="salvage"),0,Inputs!$Q$76/Inputs!$Q$22)</f>
        <v>0</v>
      </c>
      <c r="AI217" s="296">
        <f>IF(OR(AI$2&gt;Inputs!$G$18,Inputs!$Q$75="salvage"),0,Inputs!$Q$76/Inputs!$Q$22)</f>
        <v>0</v>
      </c>
      <c r="AJ217" s="296">
        <f>IF(OR(AJ$2&gt;Inputs!$G$18,Inputs!$Q$75="salvage"),0,Inputs!$Q$76/Inputs!$Q$22)</f>
        <v>0</v>
      </c>
    </row>
    <row r="218" spans="2:36" ht="16">
      <c r="B218" s="259" t="s">
        <v>90</v>
      </c>
      <c r="C218" s="259"/>
      <c r="D218" s="259"/>
      <c r="E218" s="303"/>
      <c r="F218" s="296">
        <f>IF(F$2&gt;Inputs!$G$18,0,SUM(F210:F217))</f>
        <v>336531.32449058129</v>
      </c>
      <c r="G218" s="296">
        <f>IF(G$2&gt;Inputs!$G$18,0,SUM(G210:G217))</f>
        <v>336531.32449058129</v>
      </c>
      <c r="H218" s="296">
        <f>IF(H$2&gt;Inputs!$G$18,0,SUM(H210:H217))</f>
        <v>336531.32449058129</v>
      </c>
      <c r="I218" s="296">
        <f>IF(I$2&gt;Inputs!$G$18,0,SUM(I210:I217))</f>
        <v>336531.32449058129</v>
      </c>
      <c r="J218" s="296">
        <f>IF(J$2&gt;Inputs!$G$18,0,SUM(J210:J217))</f>
        <v>336531.32449058129</v>
      </c>
      <c r="K218" s="296">
        <f>IF(K$2&gt;Inputs!$G$18,0,SUM(K210:K217))</f>
        <v>336531.32449058129</v>
      </c>
      <c r="L218" s="296">
        <f>IF(L$2&gt;Inputs!$G$18,0,SUM(L210:L217))</f>
        <v>336531.32449058129</v>
      </c>
      <c r="M218" s="296">
        <f>IF(M$2&gt;Inputs!$G$18,0,SUM(M210:M217))</f>
        <v>336531.32449058129</v>
      </c>
      <c r="N218" s="296">
        <f>IF(N$2&gt;Inputs!$G$18,0,SUM(N210:N217))</f>
        <v>336531.32449058129</v>
      </c>
      <c r="O218" s="296">
        <f>IF(O$2&gt;Inputs!$G$18,0,SUM(O210:O217))</f>
        <v>336531.32449058129</v>
      </c>
      <c r="P218" s="296">
        <f>IF(P$2&gt;Inputs!$G$18,0,SUM(P210:P217))</f>
        <v>336531.32449058129</v>
      </c>
      <c r="Q218" s="296">
        <f>IF(Q$2&gt;Inputs!$G$18,0,SUM(Q210:Q217))</f>
        <v>336531.32449058129</v>
      </c>
      <c r="R218" s="296">
        <f>IF(R$2&gt;Inputs!$G$18,0,SUM(R210:R217))</f>
        <v>336531.32449058129</v>
      </c>
      <c r="S218" s="296">
        <f>IF(S$2&gt;Inputs!$G$18,0,SUM(S210:S217))</f>
        <v>336531.32449058129</v>
      </c>
      <c r="T218" s="296">
        <f>IF(T$2&gt;Inputs!$G$18,0,SUM(T210:T217))</f>
        <v>213141.38735006595</v>
      </c>
      <c r="U218" s="296">
        <f>IF(U$2&gt;Inputs!$G$18,0,SUM(U210:U217))</f>
        <v>213141.38735006595</v>
      </c>
      <c r="V218" s="296">
        <f>IF(V$2&gt;Inputs!$G$18,0,SUM(V210:V217))</f>
        <v>213141.38735006595</v>
      </c>
      <c r="W218" s="296">
        <f>IF(W$2&gt;Inputs!$G$18,0,SUM(W210:W217))</f>
        <v>213141.38735006595</v>
      </c>
      <c r="X218" s="296">
        <f>IF(X$2&gt;Inputs!$G$18,0,SUM(X210:X217))</f>
        <v>213141.38735006595</v>
      </c>
      <c r="Y218" s="296">
        <f>IF(Y$2&gt;Inputs!$G$18,0,SUM(Y210:Y217))</f>
        <v>213141.38735006595</v>
      </c>
      <c r="Z218" s="296">
        <f>IF(Z$2&gt;Inputs!$G$18,0,SUM(Z210:Z217))</f>
        <v>-2.9103830456733704E-11</v>
      </c>
      <c r="AA218" s="296">
        <f>IF(AA$2&gt;Inputs!$G$18,0,SUM(AA210:AA217))</f>
        <v>0</v>
      </c>
      <c r="AB218" s="296">
        <f>IF(AB$2&gt;Inputs!$G$18,0,SUM(AB210:AB217))</f>
        <v>0</v>
      </c>
      <c r="AC218" s="296">
        <f>IF(AC$2&gt;Inputs!$G$18,0,SUM(AC210:AC217))</f>
        <v>0</v>
      </c>
      <c r="AD218" s="296">
        <f>IF(AD$2&gt;Inputs!$G$18,0,SUM(AD210:AD217))</f>
        <v>0</v>
      </c>
      <c r="AE218" s="296">
        <f>IF(AE$2&gt;Inputs!$G$18,0,SUM(AE210:AE217))</f>
        <v>0</v>
      </c>
      <c r="AF218" s="296">
        <f>IF(AF$2&gt;Inputs!$G$18,0,SUM(AF210:AF217))</f>
        <v>0</v>
      </c>
      <c r="AG218" s="296">
        <f>IF(AG$2&gt;Inputs!$G$18,0,SUM(AG210:AG217))</f>
        <v>0</v>
      </c>
      <c r="AH218" s="296">
        <f>IF(AH$2&gt;Inputs!$G$18,0,SUM(AH210:AH217))</f>
        <v>0</v>
      </c>
      <c r="AI218" s="296">
        <f>IF(AI$2&gt;Inputs!$G$18,0,SUM(AI210:AI217))</f>
        <v>0</v>
      </c>
      <c r="AJ218" s="296">
        <f>IF(AJ$2&gt;Inputs!$G$18,0,SUM(AJ210:AJ217))</f>
        <v>0</v>
      </c>
    </row>
    <row r="219" spans="2:36" ht="16">
      <c r="B219" s="258"/>
      <c r="C219" s="258"/>
      <c r="D219" s="258"/>
      <c r="E219" s="303"/>
      <c r="F219" s="296"/>
      <c r="G219" s="296"/>
      <c r="H219" s="296"/>
      <c r="I219" s="296"/>
      <c r="J219" s="296"/>
      <c r="K219" s="296"/>
      <c r="L219" s="296"/>
      <c r="M219" s="296"/>
      <c r="N219" s="303"/>
      <c r="O219" s="303"/>
      <c r="P219" s="303"/>
      <c r="Q219" s="303"/>
      <c r="R219" s="303"/>
      <c r="S219" s="303"/>
      <c r="T219" s="303"/>
      <c r="U219" s="303"/>
      <c r="V219" s="303"/>
      <c r="W219" s="303"/>
      <c r="X219" s="303"/>
      <c r="Y219" s="303"/>
      <c r="Z219" s="303"/>
      <c r="AA219" s="303"/>
      <c r="AB219" s="303"/>
      <c r="AC219" s="303"/>
      <c r="AD219" s="303"/>
      <c r="AE219" s="303"/>
      <c r="AF219" s="303"/>
      <c r="AG219" s="303"/>
      <c r="AH219" s="303"/>
      <c r="AI219" s="303"/>
      <c r="AJ219" s="303"/>
    </row>
    <row r="220" spans="2:36" ht="16">
      <c r="B220" s="259" t="s">
        <v>183</v>
      </c>
      <c r="C220" s="259"/>
      <c r="D220" s="259"/>
      <c r="E220" s="303"/>
      <c r="F220" s="296"/>
      <c r="G220" s="296">
        <f>AVERAGE(G210,G218)*Inputs!$Q$85</f>
        <v>5047.9698673587191</v>
      </c>
      <c r="H220" s="296">
        <f>AVERAGE(H210,H218)*Inputs!$Q$85</f>
        <v>5047.9698673587191</v>
      </c>
      <c r="I220" s="296">
        <f>AVERAGE(I210,I218)*Inputs!$Q$85</f>
        <v>5047.9698673587191</v>
      </c>
      <c r="J220" s="296">
        <f>AVERAGE(J210,J218)*Inputs!$Q$85</f>
        <v>5047.9698673587191</v>
      </c>
      <c r="K220" s="296">
        <f>AVERAGE(K210,K218)*Inputs!$Q$85</f>
        <v>5047.9698673587191</v>
      </c>
      <c r="L220" s="296">
        <f>AVERAGE(L210,L218)*Inputs!$Q$85</f>
        <v>5047.9698673587191</v>
      </c>
      <c r="M220" s="296">
        <f>AVERAGE(M210,M218)*Inputs!$Q$85</f>
        <v>5047.9698673587191</v>
      </c>
      <c r="N220" s="296">
        <f>AVERAGE(N210,N218)*Inputs!$Q$85</f>
        <v>5047.9698673587191</v>
      </c>
      <c r="O220" s="296">
        <f>AVERAGE(O210,O218)*Inputs!$Q$85</f>
        <v>5047.9698673587191</v>
      </c>
      <c r="P220" s="296">
        <f>AVERAGE(P210,P218)*Inputs!$Q$85</f>
        <v>5047.9698673587191</v>
      </c>
      <c r="Q220" s="296">
        <f>AVERAGE(Q210,Q218)*Inputs!$Q$85</f>
        <v>5047.9698673587191</v>
      </c>
      <c r="R220" s="296">
        <f>AVERAGE(R210,R218)*Inputs!$Q$85</f>
        <v>5047.9698673587191</v>
      </c>
      <c r="S220" s="296">
        <f>AVERAGE(S210,S218)*Inputs!$Q$85</f>
        <v>5047.9698673587191</v>
      </c>
      <c r="T220" s="296">
        <f>AVERAGE(T210,T218)*Inputs!$Q$85</f>
        <v>4122.5453388048545</v>
      </c>
      <c r="U220" s="296">
        <f>AVERAGE(U210,U218)*Inputs!$Q$85</f>
        <v>3197.1208102509891</v>
      </c>
      <c r="V220" s="296">
        <f>AVERAGE(V210,V218)*Inputs!$Q$85</f>
        <v>3197.1208102509891</v>
      </c>
      <c r="W220" s="296">
        <f>AVERAGE(W210,W218)*Inputs!$Q$85</f>
        <v>3197.1208102509891</v>
      </c>
      <c r="X220" s="296">
        <f>AVERAGE(X210,X218)*Inputs!$Q$85</f>
        <v>3197.1208102509891</v>
      </c>
      <c r="Y220" s="296">
        <f>AVERAGE(Y210,Y218)*Inputs!$Q$85</f>
        <v>3197.1208102509891</v>
      </c>
      <c r="Z220" s="296">
        <f>AVERAGE(Z210,Z218)*Inputs!$Q$85</f>
        <v>1598.5604051254943</v>
      </c>
      <c r="AA220" s="296">
        <f>AVERAGE(AA210,AA218)*Inputs!$Q$85</f>
        <v>-2.1827872842550277E-13</v>
      </c>
      <c r="AB220" s="296">
        <f>AVERAGE(AB210,AB218)*Inputs!$Q$85</f>
        <v>0</v>
      </c>
      <c r="AC220" s="296">
        <f>AVERAGE(AC210,AC218)*Inputs!$Q$85</f>
        <v>0</v>
      </c>
      <c r="AD220" s="296">
        <f>AVERAGE(AD210,AD218)*Inputs!$Q$85</f>
        <v>0</v>
      </c>
      <c r="AE220" s="296">
        <f>AVERAGE(AE210,AE218)*Inputs!$Q$85</f>
        <v>0</v>
      </c>
      <c r="AF220" s="296">
        <f>AVERAGE(AF210,AF218)*Inputs!$Q$85</f>
        <v>0</v>
      </c>
      <c r="AG220" s="296">
        <f>AVERAGE(AG210,AG218)*Inputs!$Q$85</f>
        <v>0</v>
      </c>
      <c r="AH220" s="296">
        <f>AVERAGE(AH210,AH218)*Inputs!$Q$85</f>
        <v>0</v>
      </c>
      <c r="AI220" s="296">
        <f>AVERAGE(AI210,AI218)*Inputs!$Q$85</f>
        <v>0</v>
      </c>
      <c r="AJ220" s="296">
        <f>AVERAGE(AJ210,AJ218)*Inputs!$Q$85</f>
        <v>0</v>
      </c>
    </row>
    <row r="221" spans="2:36" ht="16">
      <c r="B221" s="259" t="s">
        <v>184</v>
      </c>
      <c r="C221" s="259"/>
      <c r="D221" s="259"/>
      <c r="E221" s="303"/>
      <c r="F221" s="303"/>
      <c r="G221" s="296">
        <f>SUM(G211:G217)</f>
        <v>0</v>
      </c>
      <c r="H221" s="296">
        <f t="shared" ref="H221:AJ221" si="64">SUM(H211:H217)</f>
        <v>0</v>
      </c>
      <c r="I221" s="296">
        <f t="shared" si="64"/>
        <v>0</v>
      </c>
      <c r="J221" s="296">
        <f t="shared" si="64"/>
        <v>0</v>
      </c>
      <c r="K221" s="296">
        <f t="shared" si="64"/>
        <v>0</v>
      </c>
      <c r="L221" s="296">
        <f t="shared" si="64"/>
        <v>0</v>
      </c>
      <c r="M221" s="296">
        <f t="shared" si="64"/>
        <v>0</v>
      </c>
      <c r="N221" s="296">
        <f t="shared" si="64"/>
        <v>0</v>
      </c>
      <c r="O221" s="296">
        <f t="shared" si="64"/>
        <v>0</v>
      </c>
      <c r="P221" s="296">
        <f t="shared" si="64"/>
        <v>0</v>
      </c>
      <c r="Q221" s="296">
        <f t="shared" si="64"/>
        <v>0</v>
      </c>
      <c r="R221" s="296">
        <f t="shared" si="64"/>
        <v>0</v>
      </c>
      <c r="S221" s="296">
        <f t="shared" si="64"/>
        <v>0</v>
      </c>
      <c r="T221" s="296">
        <f t="shared" si="64"/>
        <v>-123389.93714051534</v>
      </c>
      <c r="U221" s="296">
        <f t="shared" si="64"/>
        <v>0</v>
      </c>
      <c r="V221" s="296">
        <f t="shared" si="64"/>
        <v>0</v>
      </c>
      <c r="W221" s="296">
        <f t="shared" si="64"/>
        <v>0</v>
      </c>
      <c r="X221" s="296">
        <f t="shared" si="64"/>
        <v>0</v>
      </c>
      <c r="Y221" s="296">
        <f t="shared" si="64"/>
        <v>0</v>
      </c>
      <c r="Z221" s="296">
        <f t="shared" si="64"/>
        <v>-213141.38735006598</v>
      </c>
      <c r="AA221" s="296">
        <f t="shared" si="64"/>
        <v>0</v>
      </c>
      <c r="AB221" s="296">
        <f t="shared" si="64"/>
        <v>0</v>
      </c>
      <c r="AC221" s="296">
        <f t="shared" si="64"/>
        <v>0</v>
      </c>
      <c r="AD221" s="296">
        <f t="shared" si="64"/>
        <v>0</v>
      </c>
      <c r="AE221" s="296">
        <f t="shared" si="64"/>
        <v>0</v>
      </c>
      <c r="AF221" s="296">
        <f t="shared" si="64"/>
        <v>0</v>
      </c>
      <c r="AG221" s="296">
        <f t="shared" si="64"/>
        <v>0</v>
      </c>
      <c r="AH221" s="296">
        <f t="shared" si="64"/>
        <v>0</v>
      </c>
      <c r="AI221" s="296">
        <f t="shared" si="64"/>
        <v>0</v>
      </c>
      <c r="AJ221" s="296">
        <f t="shared" si="64"/>
        <v>0</v>
      </c>
    </row>
    <row r="222" spans="2:36" ht="17" thickBot="1">
      <c r="B222" s="304"/>
      <c r="C222" s="304"/>
      <c r="D222" s="304"/>
      <c r="E222" s="305"/>
      <c r="F222" s="306"/>
      <c r="G222" s="306"/>
      <c r="H222" s="306"/>
      <c r="I222" s="306"/>
      <c r="J222" s="306"/>
      <c r="K222" s="306"/>
      <c r="L222" s="306"/>
      <c r="M222" s="306"/>
      <c r="N222" s="306"/>
      <c r="O222" s="306"/>
      <c r="P222" s="306"/>
      <c r="Q222" s="306"/>
      <c r="R222" s="306"/>
      <c r="S222" s="306"/>
      <c r="T222" s="306"/>
      <c r="U222" s="306"/>
      <c r="V222" s="306"/>
      <c r="W222" s="306"/>
      <c r="X222" s="306"/>
      <c r="Y222" s="306"/>
      <c r="Z222" s="306"/>
      <c r="AA222" s="306"/>
      <c r="AB222" s="306"/>
      <c r="AC222" s="306"/>
      <c r="AD222" s="306"/>
      <c r="AE222" s="306"/>
      <c r="AF222" s="306"/>
      <c r="AG222" s="306"/>
      <c r="AH222" s="306"/>
      <c r="AI222" s="306"/>
      <c r="AJ222" s="306"/>
    </row>
    <row r="223" spans="2:36" ht="16">
      <c r="B223" s="294"/>
      <c r="C223" s="294"/>
      <c r="D223" s="294"/>
      <c r="E223" s="303"/>
      <c r="F223" s="296"/>
      <c r="G223" s="415"/>
      <c r="H223" s="296"/>
      <c r="I223" s="296"/>
      <c r="J223" s="296"/>
      <c r="K223" s="296"/>
      <c r="L223" s="296"/>
      <c r="M223" s="296"/>
      <c r="N223" s="296"/>
      <c r="O223" s="296"/>
      <c r="P223" s="296"/>
      <c r="Q223" s="296"/>
      <c r="R223" s="296"/>
      <c r="S223" s="296"/>
      <c r="T223" s="296"/>
      <c r="U223" s="296"/>
      <c r="V223" s="296"/>
      <c r="W223" s="296"/>
      <c r="X223" s="296"/>
      <c r="Y223" s="296"/>
      <c r="Z223" s="296"/>
      <c r="AA223" s="296"/>
      <c r="AB223" s="296"/>
      <c r="AC223" s="296"/>
      <c r="AD223" s="296"/>
      <c r="AE223" s="296"/>
      <c r="AF223" s="296"/>
      <c r="AG223" s="296"/>
      <c r="AH223" s="296"/>
      <c r="AI223" s="296"/>
      <c r="AJ223" s="296"/>
    </row>
    <row r="224" spans="2:36" ht="17">
      <c r="B224" s="423" t="s">
        <v>268</v>
      </c>
      <c r="C224" s="423"/>
      <c r="D224" s="423"/>
      <c r="E224" s="303"/>
      <c r="F224" s="296"/>
      <c r="G224" s="416" t="s">
        <v>269</v>
      </c>
      <c r="H224" s="296"/>
      <c r="I224" s="296"/>
      <c r="J224" s="303"/>
      <c r="K224" s="416" t="s">
        <v>269</v>
      </c>
      <c r="L224" s="296"/>
      <c r="M224" s="296"/>
      <c r="N224" s="303"/>
      <c r="O224" s="416" t="s">
        <v>269</v>
      </c>
      <c r="P224" s="296"/>
      <c r="Q224" s="296"/>
      <c r="R224" s="416" t="s">
        <v>271</v>
      </c>
      <c r="S224" s="416" t="s">
        <v>272</v>
      </c>
      <c r="T224" s="303"/>
      <c r="U224" s="303"/>
      <c r="V224" s="296"/>
      <c r="W224" s="296"/>
      <c r="X224" s="296"/>
      <c r="Y224" s="296"/>
      <c r="Z224" s="296"/>
      <c r="AA224" s="296"/>
      <c r="AB224" s="296"/>
      <c r="AC224" s="296"/>
      <c r="AD224" s="296"/>
      <c r="AE224" s="296"/>
      <c r="AF224" s="296"/>
      <c r="AG224" s="296"/>
      <c r="AH224" s="296"/>
      <c r="AI224" s="296"/>
      <c r="AJ224" s="296"/>
    </row>
    <row r="225" spans="2:36" ht="16">
      <c r="B225" s="294" t="s">
        <v>273</v>
      </c>
      <c r="C225" s="294"/>
      <c r="D225" s="294"/>
      <c r="E225" s="303"/>
      <c r="F225" s="296"/>
      <c r="G225" s="296">
        <f>$D$84</f>
        <v>6306.4943027656354</v>
      </c>
      <c r="H225" s="296"/>
      <c r="I225" s="296"/>
      <c r="J225" s="303"/>
      <c r="K225" s="296">
        <f>$D$84</f>
        <v>6306.4943027656354</v>
      </c>
      <c r="L225" s="296"/>
      <c r="M225" s="296"/>
      <c r="N225" s="303"/>
      <c r="O225" s="296">
        <f>$D$84</f>
        <v>6306.4943027656354</v>
      </c>
      <c r="P225" s="296"/>
      <c r="Q225" s="296"/>
      <c r="R225" s="417">
        <f>LOOKUP(MIN($P$226:$P$236),$O$226:$O$236,$N$226:$N$236)</f>
        <v>11.299999999999999</v>
      </c>
      <c r="S225" s="417">
        <f>LOOKUP(MAX($Q$226:$Q$236),$O$226:$O$236,$N$226:$N$236)</f>
        <v>11.399999999999999</v>
      </c>
      <c r="T225" s="462"/>
      <c r="U225" s="303"/>
      <c r="V225" s="296"/>
      <c r="W225" s="296"/>
      <c r="X225" s="296"/>
      <c r="Y225" s="296"/>
      <c r="Z225" s="296"/>
      <c r="AA225" s="296"/>
      <c r="AB225" s="296"/>
      <c r="AC225" s="296"/>
      <c r="AD225" s="296"/>
      <c r="AE225" s="296"/>
      <c r="AF225" s="296"/>
      <c r="AG225" s="296"/>
      <c r="AH225" s="296"/>
      <c r="AI225" s="296"/>
      <c r="AJ225" s="296"/>
    </row>
    <row r="226" spans="2:36" ht="16">
      <c r="B226" s="294"/>
      <c r="C226" s="294"/>
      <c r="D226" s="294"/>
      <c r="E226" s="303"/>
      <c r="F226" s="418">
        <v>0</v>
      </c>
      <c r="G226" s="296">
        <f t="dataTable" ref="G226:G236" dt2D="0" dtr="0" r1="G84" ca="1"/>
        <v>-1626388.234529244</v>
      </c>
      <c r="H226" s="296"/>
      <c r="I226" s="296"/>
      <c r="J226" s="419">
        <f>LOOKUP(MIN($H$226:$H$236),$G$226:$G$236,$F$226:$F$236)</f>
        <v>10</v>
      </c>
      <c r="K226" s="296">
        <f t="dataTable" ref="K226:K236" dt2D="0" dtr="0" r1="G84" ca="1"/>
        <v>-187890.67608694473</v>
      </c>
      <c r="L226" s="296"/>
      <c r="M226" s="296"/>
      <c r="N226" s="419">
        <f>LOOKUP(MIN($L$226:$L$236),$K$226:$K$236,$J$226:$J$236)</f>
        <v>11</v>
      </c>
      <c r="O226" s="296">
        <f t="dataTable" ref="O226:O236" dt2D="0" dtr="0" r1="G84"/>
        <v>-44040.920242714441</v>
      </c>
      <c r="P226" s="296"/>
      <c r="Q226" s="296"/>
      <c r="R226" s="296"/>
      <c r="S226" s="296"/>
      <c r="T226" s="296"/>
      <c r="U226" s="296"/>
      <c r="V226" s="296"/>
      <c r="W226" s="296"/>
      <c r="X226" s="296"/>
      <c r="Y226" s="296"/>
      <c r="Z226" s="296"/>
      <c r="AA226" s="296"/>
      <c r="AB226" s="296"/>
      <c r="AC226" s="296"/>
      <c r="AD226" s="296"/>
      <c r="AE226" s="296"/>
      <c r="AF226" s="296"/>
      <c r="AG226" s="296"/>
      <c r="AH226" s="296"/>
      <c r="AI226" s="296"/>
      <c r="AJ226" s="296"/>
    </row>
    <row r="227" spans="2:36" ht="17">
      <c r="B227" s="303"/>
      <c r="C227" s="303"/>
      <c r="D227" s="303"/>
      <c r="E227" s="303"/>
      <c r="F227" s="418">
        <v>10</v>
      </c>
      <c r="G227" s="296">
        <v>-187890.67608694473</v>
      </c>
      <c r="H227" s="296">
        <f t="shared" ref="H227:H236" si="65">IF(AND($G227&lt;0,$G228&gt;0),$G227,"")</f>
        <v>-187890.67608694473</v>
      </c>
      <c r="I227" s="296" t="str">
        <f t="shared" ref="I227:I236" si="66">IF(AND($G227&gt;0,$G226&lt;0),$G227,"")</f>
        <v/>
      </c>
      <c r="J227" s="419">
        <f>J226+1</f>
        <v>11</v>
      </c>
      <c r="K227" s="296">
        <v>-44040.920242714441</v>
      </c>
      <c r="L227" s="296">
        <f t="shared" ref="L227:L236" si="67">IF(AND($K227&lt;0,$K228&gt;0),$K227,"")</f>
        <v>-44040.920242714441</v>
      </c>
      <c r="M227" s="296" t="str">
        <f t="shared" ref="M227:M236" si="68">IF(AND($K227&gt;0,$K226&lt;0),$K227,"")</f>
        <v/>
      </c>
      <c r="N227" s="419">
        <f>N226+0.1</f>
        <v>11.1</v>
      </c>
      <c r="O227" s="296">
        <v>-29655.944658291646</v>
      </c>
      <c r="P227" s="296" t="str">
        <f>IF(AND($O227&lt;0,$O228&gt;0),$O227,"")</f>
        <v/>
      </c>
      <c r="Q227" s="296" t="str">
        <f>IF(AND($O227&gt;0,$O226&lt;0),$O227,"")</f>
        <v/>
      </c>
      <c r="R227" s="296"/>
      <c r="S227" s="296"/>
      <c r="T227" s="296"/>
      <c r="U227" s="296"/>
      <c r="V227" s="296"/>
      <c r="W227" s="296"/>
      <c r="X227" s="296"/>
      <c r="Y227" s="296"/>
      <c r="Z227" s="296"/>
      <c r="AA227" s="296"/>
      <c r="AB227" s="296"/>
      <c r="AC227" s="296"/>
      <c r="AD227" s="296"/>
      <c r="AE227" s="296"/>
      <c r="AF227" s="296"/>
      <c r="AG227" s="296"/>
      <c r="AH227" s="296"/>
      <c r="AI227" s="296"/>
      <c r="AJ227" s="296"/>
    </row>
    <row r="228" spans="2:36" ht="17">
      <c r="B228" s="303"/>
      <c r="C228" s="303"/>
      <c r="D228" s="303"/>
      <c r="E228" s="303"/>
      <c r="F228" s="418">
        <v>20</v>
      </c>
      <c r="G228" s="296">
        <v>1250606.8823553547</v>
      </c>
      <c r="H228" s="296" t="str">
        <f t="shared" si="65"/>
        <v/>
      </c>
      <c r="I228" s="296">
        <f t="shared" si="66"/>
        <v>1250606.8823553547</v>
      </c>
      <c r="J228" s="419">
        <f t="shared" ref="J228:J235" si="69">J227+1</f>
        <v>12</v>
      </c>
      <c r="K228" s="296">
        <v>99808.835601515573</v>
      </c>
      <c r="L228" s="296" t="str">
        <f t="shared" si="67"/>
        <v/>
      </c>
      <c r="M228" s="296">
        <f t="shared" si="68"/>
        <v>99808.835601515573</v>
      </c>
      <c r="N228" s="419">
        <f t="shared" ref="N228:N235" si="70">N227+0.1</f>
        <v>11.2</v>
      </c>
      <c r="O228" s="296">
        <v>-15270.969073868515</v>
      </c>
      <c r="P228" s="296" t="str">
        <f t="shared" ref="P228:P236" si="71">IF(AND($O228&lt;0,$O229&gt;0),$O228,"")</f>
        <v/>
      </c>
      <c r="Q228" s="296" t="str">
        <f t="shared" ref="Q228:Q236" si="72">IF(AND($O228&gt;0,$O227&lt;0),$O228,"")</f>
        <v/>
      </c>
      <c r="R228" s="296"/>
      <c r="S228" s="296"/>
      <c r="T228" s="296"/>
      <c r="U228" s="296"/>
      <c r="V228" s="296"/>
      <c r="W228" s="296"/>
      <c r="X228" s="296"/>
      <c r="Y228" s="296"/>
      <c r="Z228" s="296"/>
      <c r="AA228" s="296"/>
      <c r="AB228" s="296"/>
      <c r="AC228" s="296"/>
      <c r="AD228" s="296"/>
      <c r="AE228" s="296"/>
      <c r="AF228" s="296"/>
      <c r="AG228" s="296"/>
      <c r="AH228" s="296"/>
      <c r="AI228" s="296"/>
      <c r="AJ228" s="296"/>
    </row>
    <row r="229" spans="2:36" ht="17">
      <c r="B229" s="303"/>
      <c r="C229" s="303"/>
      <c r="D229" s="303"/>
      <c r="E229" s="303"/>
      <c r="F229" s="418">
        <v>30</v>
      </c>
      <c r="G229" s="296">
        <v>2689104.4407976549</v>
      </c>
      <c r="H229" s="296" t="str">
        <f t="shared" si="65"/>
        <v/>
      </c>
      <c r="I229" s="296" t="str">
        <f t="shared" si="66"/>
        <v/>
      </c>
      <c r="J229" s="419">
        <f t="shared" si="69"/>
        <v>13</v>
      </c>
      <c r="K229" s="296">
        <v>243658.59144574535</v>
      </c>
      <c r="L229" s="296" t="str">
        <f t="shared" si="67"/>
        <v/>
      </c>
      <c r="M229" s="296" t="str">
        <f t="shared" si="68"/>
        <v/>
      </c>
      <c r="N229" s="419">
        <f t="shared" si="70"/>
        <v>11.299999999999999</v>
      </c>
      <c r="O229" s="296">
        <v>-885.99348944569874</v>
      </c>
      <c r="P229" s="296">
        <f t="shared" si="71"/>
        <v>-885.99348944569874</v>
      </c>
      <c r="Q229" s="296" t="str">
        <f t="shared" si="72"/>
        <v/>
      </c>
      <c r="R229" s="296"/>
      <c r="S229" s="296"/>
      <c r="T229" s="296"/>
      <c r="U229" s="296"/>
      <c r="V229" s="296"/>
      <c r="W229" s="296"/>
      <c r="X229" s="296"/>
      <c r="Y229" s="296"/>
      <c r="Z229" s="296"/>
      <c r="AA229" s="296"/>
      <c r="AB229" s="296"/>
      <c r="AC229" s="296"/>
      <c r="AD229" s="296"/>
      <c r="AE229" s="296"/>
      <c r="AF229" s="296"/>
      <c r="AG229" s="296"/>
      <c r="AH229" s="296"/>
      <c r="AI229" s="296"/>
      <c r="AJ229" s="296"/>
    </row>
    <row r="230" spans="2:36" ht="17">
      <c r="B230" s="303"/>
      <c r="C230" s="303"/>
      <c r="D230" s="303"/>
      <c r="E230" s="303"/>
      <c r="F230" s="418">
        <v>40</v>
      </c>
      <c r="G230" s="296">
        <v>4127601.9992399542</v>
      </c>
      <c r="H230" s="296" t="str">
        <f t="shared" si="65"/>
        <v/>
      </c>
      <c r="I230" s="296" t="str">
        <f t="shared" si="66"/>
        <v/>
      </c>
      <c r="J230" s="419">
        <f t="shared" si="69"/>
        <v>14</v>
      </c>
      <c r="K230" s="296">
        <v>387508.34728997521</v>
      </c>
      <c r="L230" s="296" t="str">
        <f t="shared" si="67"/>
        <v/>
      </c>
      <c r="M230" s="296" t="str">
        <f t="shared" si="68"/>
        <v/>
      </c>
      <c r="N230" s="419">
        <f t="shared" si="70"/>
        <v>11.399999999999999</v>
      </c>
      <c r="O230" s="296">
        <v>13498.982094977111</v>
      </c>
      <c r="P230" s="296" t="str">
        <f t="shared" si="71"/>
        <v/>
      </c>
      <c r="Q230" s="296">
        <f t="shared" si="72"/>
        <v>13498.982094977111</v>
      </c>
      <c r="R230" s="296"/>
      <c r="S230" s="296"/>
      <c r="T230" s="296"/>
      <c r="U230" s="296"/>
      <c r="V230" s="296"/>
      <c r="W230" s="296"/>
      <c r="X230" s="296"/>
      <c r="Y230" s="296"/>
      <c r="Z230" s="296"/>
      <c r="AA230" s="296"/>
      <c r="AB230" s="296"/>
      <c r="AC230" s="296"/>
      <c r="AD230" s="296"/>
      <c r="AE230" s="296"/>
      <c r="AF230" s="296"/>
      <c r="AG230" s="296"/>
      <c r="AH230" s="296"/>
      <c r="AI230" s="296"/>
      <c r="AJ230" s="296"/>
    </row>
    <row r="231" spans="2:36" ht="17">
      <c r="B231" s="303"/>
      <c r="C231" s="303"/>
      <c r="D231" s="303"/>
      <c r="E231" s="303"/>
      <c r="F231" s="418">
        <v>50</v>
      </c>
      <c r="G231" s="296">
        <v>5566099.5576822562</v>
      </c>
      <c r="H231" s="296" t="str">
        <f t="shared" si="65"/>
        <v/>
      </c>
      <c r="I231" s="296" t="str">
        <f t="shared" si="66"/>
        <v/>
      </c>
      <c r="J231" s="419">
        <f t="shared" si="69"/>
        <v>15</v>
      </c>
      <c r="K231" s="296">
        <v>531358.10313420498</v>
      </c>
      <c r="L231" s="296" t="str">
        <f t="shared" si="67"/>
        <v/>
      </c>
      <c r="M231" s="296" t="str">
        <f t="shared" si="68"/>
        <v/>
      </c>
      <c r="N231" s="419">
        <f t="shared" si="70"/>
        <v>11.499999999999998</v>
      </c>
      <c r="O231" s="296">
        <v>27883.957679400031</v>
      </c>
      <c r="P231" s="296" t="str">
        <f t="shared" si="71"/>
        <v/>
      </c>
      <c r="Q231" s="296" t="str">
        <f t="shared" si="72"/>
        <v/>
      </c>
      <c r="R231" s="296"/>
      <c r="S231" s="296"/>
      <c r="T231" s="296"/>
      <c r="U231" s="296"/>
      <c r="V231" s="296"/>
      <c r="W231" s="296"/>
      <c r="X231" s="296"/>
      <c r="Y231" s="296"/>
      <c r="Z231" s="296"/>
      <c r="AA231" s="296"/>
      <c r="AB231" s="296"/>
      <c r="AC231" s="296"/>
      <c r="AD231" s="296"/>
      <c r="AE231" s="296"/>
      <c r="AF231" s="296"/>
      <c r="AG231" s="296"/>
      <c r="AH231" s="296"/>
      <c r="AI231" s="296"/>
      <c r="AJ231" s="296"/>
    </row>
    <row r="232" spans="2:36" ht="17">
      <c r="B232" s="303"/>
      <c r="C232" s="303"/>
      <c r="D232" s="303"/>
      <c r="E232" s="303"/>
      <c r="F232" s="418">
        <v>60</v>
      </c>
      <c r="G232" s="296">
        <v>7004597.1161245555</v>
      </c>
      <c r="H232" s="296" t="str">
        <f t="shared" si="65"/>
        <v/>
      </c>
      <c r="I232" s="296" t="str">
        <f t="shared" si="66"/>
        <v/>
      </c>
      <c r="J232" s="419">
        <f t="shared" si="69"/>
        <v>16</v>
      </c>
      <c r="K232" s="296">
        <v>675207.85897843528</v>
      </c>
      <c r="L232" s="296" t="str">
        <f t="shared" si="67"/>
        <v/>
      </c>
      <c r="M232" s="296" t="str">
        <f t="shared" si="68"/>
        <v/>
      </c>
      <c r="N232" s="419">
        <f t="shared" si="70"/>
        <v>11.599999999999998</v>
      </c>
      <c r="O232" s="296">
        <v>42268.933263823019</v>
      </c>
      <c r="P232" s="296" t="str">
        <f t="shared" si="71"/>
        <v/>
      </c>
      <c r="Q232" s="296" t="str">
        <f t="shared" si="72"/>
        <v/>
      </c>
      <c r="R232" s="296"/>
      <c r="S232" s="296"/>
      <c r="T232" s="296"/>
      <c r="U232" s="296"/>
      <c r="V232" s="296"/>
      <c r="W232" s="296"/>
      <c r="X232" s="296"/>
      <c r="Y232" s="296"/>
      <c r="Z232" s="296"/>
      <c r="AA232" s="296"/>
      <c r="AB232" s="296"/>
      <c r="AC232" s="296"/>
      <c r="AD232" s="296"/>
      <c r="AE232" s="296"/>
      <c r="AF232" s="296"/>
      <c r="AG232" s="296"/>
      <c r="AH232" s="296"/>
      <c r="AI232" s="296"/>
      <c r="AJ232" s="296"/>
    </row>
    <row r="233" spans="2:36" ht="17">
      <c r="B233" s="303"/>
      <c r="C233" s="303"/>
      <c r="D233" s="303"/>
      <c r="E233" s="303"/>
      <c r="F233" s="418">
        <v>70</v>
      </c>
      <c r="G233" s="296">
        <v>8443094.6745668538</v>
      </c>
      <c r="H233" s="296" t="str">
        <f t="shared" si="65"/>
        <v/>
      </c>
      <c r="I233" s="296" t="str">
        <f t="shared" si="66"/>
        <v/>
      </c>
      <c r="J233" s="419">
        <f t="shared" si="69"/>
        <v>17</v>
      </c>
      <c r="K233" s="296">
        <v>819057.61482266523</v>
      </c>
      <c r="L233" s="296" t="str">
        <f t="shared" si="67"/>
        <v/>
      </c>
      <c r="M233" s="296" t="str">
        <f t="shared" si="68"/>
        <v/>
      </c>
      <c r="N233" s="419">
        <f t="shared" si="70"/>
        <v>11.699999999999998</v>
      </c>
      <c r="O233" s="296">
        <v>56653.90884824629</v>
      </c>
      <c r="P233" s="296" t="str">
        <f t="shared" si="71"/>
        <v/>
      </c>
      <c r="Q233" s="296" t="str">
        <f t="shared" si="72"/>
        <v/>
      </c>
      <c r="R233" s="296"/>
      <c r="S233" s="296"/>
      <c r="T233" s="296"/>
      <c r="U233" s="296"/>
      <c r="V233" s="296"/>
      <c r="W233" s="296"/>
      <c r="X233" s="296"/>
      <c r="Y233" s="296"/>
      <c r="Z233" s="296"/>
      <c r="AA233" s="296"/>
      <c r="AB233" s="296"/>
      <c r="AC233" s="296"/>
      <c r="AD233" s="296"/>
      <c r="AE233" s="296"/>
      <c r="AF233" s="296"/>
      <c r="AG233" s="296"/>
      <c r="AH233" s="296"/>
      <c r="AI233" s="296"/>
      <c r="AJ233" s="296"/>
    </row>
    <row r="234" spans="2:36" ht="17">
      <c r="B234" s="303"/>
      <c r="C234" s="303"/>
      <c r="D234" s="303"/>
      <c r="E234" s="303"/>
      <c r="F234" s="418">
        <v>80</v>
      </c>
      <c r="G234" s="296">
        <v>9881592.2330091596</v>
      </c>
      <c r="H234" s="296" t="str">
        <f t="shared" si="65"/>
        <v/>
      </c>
      <c r="I234" s="296" t="str">
        <f t="shared" si="66"/>
        <v/>
      </c>
      <c r="J234" s="419">
        <f t="shared" si="69"/>
        <v>18</v>
      </c>
      <c r="K234" s="296">
        <v>962907.37066689483</v>
      </c>
      <c r="L234" s="296" t="str">
        <f t="shared" si="67"/>
        <v/>
      </c>
      <c r="M234" s="296" t="str">
        <f t="shared" si="68"/>
        <v/>
      </c>
      <c r="N234" s="419">
        <f t="shared" si="70"/>
        <v>11.799999999999997</v>
      </c>
      <c r="O234" s="296">
        <v>71038.884432669234</v>
      </c>
      <c r="P234" s="296" t="str">
        <f t="shared" si="71"/>
        <v/>
      </c>
      <c r="Q234" s="296" t="str">
        <f t="shared" si="72"/>
        <v/>
      </c>
      <c r="R234" s="296"/>
      <c r="S234" s="296"/>
      <c r="T234" s="296"/>
      <c r="U234" s="296"/>
      <c r="V234" s="296"/>
      <c r="W234" s="296"/>
      <c r="X234" s="296"/>
      <c r="Y234" s="296"/>
      <c r="Z234" s="296"/>
      <c r="AA234" s="296"/>
      <c r="AB234" s="296"/>
      <c r="AC234" s="296"/>
      <c r="AD234" s="296"/>
      <c r="AE234" s="296"/>
      <c r="AF234" s="296"/>
      <c r="AG234" s="296"/>
      <c r="AH234" s="296"/>
      <c r="AI234" s="296"/>
      <c r="AJ234" s="296"/>
    </row>
    <row r="235" spans="2:36" ht="17">
      <c r="B235" s="303"/>
      <c r="C235" s="303"/>
      <c r="D235" s="303"/>
      <c r="E235" s="303"/>
      <c r="F235" s="418">
        <v>90</v>
      </c>
      <c r="G235" s="296">
        <v>11320089.791451458</v>
      </c>
      <c r="H235" s="296" t="str">
        <f t="shared" si="65"/>
        <v/>
      </c>
      <c r="I235" s="296" t="str">
        <f t="shared" si="66"/>
        <v/>
      </c>
      <c r="J235" s="419">
        <f t="shared" si="69"/>
        <v>19</v>
      </c>
      <c r="K235" s="296">
        <v>1106757.1265111251</v>
      </c>
      <c r="L235" s="296" t="str">
        <f t="shared" si="67"/>
        <v/>
      </c>
      <c r="M235" s="296" t="str">
        <f t="shared" si="68"/>
        <v/>
      </c>
      <c r="N235" s="419">
        <f t="shared" si="70"/>
        <v>11.899999999999997</v>
      </c>
      <c r="O235" s="296">
        <v>85423.860017091822</v>
      </c>
      <c r="P235" s="296" t="str">
        <f t="shared" si="71"/>
        <v/>
      </c>
      <c r="Q235" s="296" t="str">
        <f t="shared" si="72"/>
        <v/>
      </c>
      <c r="R235" s="296"/>
      <c r="S235" s="296"/>
      <c r="T235" s="296"/>
      <c r="U235" s="296"/>
      <c r="V235" s="296"/>
      <c r="W235" s="296"/>
      <c r="X235" s="296"/>
      <c r="Y235" s="296"/>
      <c r="Z235" s="296"/>
      <c r="AA235" s="296"/>
      <c r="AB235" s="296"/>
      <c r="AC235" s="296"/>
      <c r="AD235" s="296"/>
      <c r="AE235" s="296"/>
      <c r="AF235" s="296"/>
      <c r="AG235" s="296"/>
      <c r="AH235" s="296"/>
      <c r="AI235" s="296"/>
      <c r="AJ235" s="296"/>
    </row>
    <row r="236" spans="2:36" ht="17">
      <c r="B236" s="303"/>
      <c r="C236" s="303"/>
      <c r="D236" s="303"/>
      <c r="E236" s="303"/>
      <c r="F236" s="418">
        <v>100</v>
      </c>
      <c r="G236" s="296">
        <v>12758587.349893756</v>
      </c>
      <c r="H236" s="296" t="str">
        <f t="shared" si="65"/>
        <v/>
      </c>
      <c r="I236" s="296" t="str">
        <f t="shared" si="66"/>
        <v/>
      </c>
      <c r="J236" s="419">
        <f>LOOKUP(MAX($I$226:$I$236),$G$226:$G$236,$F$226:$F$236)</f>
        <v>20</v>
      </c>
      <c r="K236" s="296">
        <v>1250606.8823553547</v>
      </c>
      <c r="L236" s="296" t="str">
        <f t="shared" si="67"/>
        <v/>
      </c>
      <c r="M236" s="296" t="str">
        <f t="shared" si="68"/>
        <v/>
      </c>
      <c r="N236" s="419">
        <f>LOOKUP(MAX($M$226:$M$236),$K$226:$K$236,$J$226:$J$236)</f>
        <v>12</v>
      </c>
      <c r="O236" s="296">
        <v>99808.835601515573</v>
      </c>
      <c r="P236" s="296" t="str">
        <f t="shared" si="71"/>
        <v/>
      </c>
      <c r="Q236" s="296" t="str">
        <f t="shared" si="72"/>
        <v/>
      </c>
      <c r="R236" s="296"/>
      <c r="S236" s="296"/>
      <c r="T236" s="296"/>
      <c r="U236" s="296"/>
      <c r="V236" s="296"/>
      <c r="W236" s="296"/>
      <c r="X236" s="296"/>
      <c r="Y236" s="296"/>
      <c r="Z236" s="296"/>
      <c r="AA236" s="296"/>
      <c r="AB236" s="296"/>
      <c r="AC236" s="296"/>
      <c r="AD236" s="296"/>
      <c r="AE236" s="296"/>
      <c r="AF236" s="296"/>
      <c r="AG236" s="296"/>
      <c r="AH236" s="296"/>
      <c r="AI236" s="296"/>
      <c r="AJ236" s="296"/>
    </row>
    <row r="237" spans="2:36" ht="16" thickBot="1">
      <c r="B237" s="305"/>
      <c r="C237" s="305"/>
      <c r="D237" s="305"/>
      <c r="E237" s="305"/>
      <c r="F237" s="422"/>
      <c r="G237" s="305"/>
      <c r="H237" s="305"/>
      <c r="I237" s="305"/>
      <c r="J237" s="305"/>
      <c r="K237" s="305"/>
      <c r="L237" s="305"/>
      <c r="M237" s="305"/>
      <c r="N237" s="305"/>
      <c r="O237" s="305"/>
      <c r="P237" s="305"/>
      <c r="Q237" s="305"/>
      <c r="R237" s="305"/>
      <c r="S237" s="305"/>
      <c r="T237" s="305"/>
      <c r="U237" s="305"/>
      <c r="V237" s="305"/>
      <c r="W237" s="305"/>
      <c r="X237" s="305"/>
      <c r="Y237" s="305"/>
      <c r="Z237" s="305"/>
      <c r="AA237" s="305"/>
      <c r="AB237" s="305"/>
      <c r="AC237" s="305"/>
      <c r="AD237" s="305"/>
      <c r="AE237" s="305"/>
      <c r="AF237" s="305"/>
      <c r="AG237" s="305"/>
      <c r="AH237" s="305"/>
      <c r="AI237" s="305"/>
      <c r="AJ237" s="305"/>
    </row>
    <row r="238" spans="2:36" s="420" customFormat="1">
      <c r="F238" s="421"/>
    </row>
    <row r="239" spans="2:36">
      <c r="F239" s="414"/>
    </row>
    <row r="240" spans="2:36">
      <c r="F240" s="414"/>
    </row>
    <row r="241" spans="6:6">
      <c r="F241" s="414"/>
    </row>
    <row r="242" spans="6:6">
      <c r="F242" s="414"/>
    </row>
    <row r="243" spans="6:6">
      <c r="F243" s="414"/>
    </row>
    <row r="244" spans="6:6">
      <c r="F244" s="414"/>
    </row>
    <row r="245" spans="6:6">
      <c r="F245" s="414"/>
    </row>
    <row r="246" spans="6:6">
      <c r="F246" s="414"/>
    </row>
    <row r="247" spans="6:6">
      <c r="F247" s="414"/>
    </row>
    <row r="248" spans="6:6">
      <c r="F248" s="414"/>
    </row>
    <row r="249" spans="6:6">
      <c r="F249" s="414"/>
    </row>
  </sheetData>
  <mergeCells count="3">
    <mergeCell ref="C108:E108"/>
    <mergeCell ref="B82:C82"/>
    <mergeCell ref="B84:C84"/>
  </mergeCells>
  <conditionalFormatting sqref="B27:B28">
    <cfRule type="expression" dxfId="4" priority="2">
      <formula>$G$37="Simple"</formula>
    </cfRule>
  </conditionalFormatting>
  <conditionalFormatting sqref="B27:B28">
    <cfRule type="expression" dxfId="3" priority="1">
      <formula>$G$37="Simple"</formula>
    </cfRule>
  </conditionalFormatting>
  <dataValidations disablePrompts="1" count="1">
    <dataValidation type="list" allowBlank="1" showInputMessage="1" showErrorMessage="1" sqref="E65644 HW65644 RS65644 ABO65644 ALK65644 AVG65644 BFC65644 BOY65644 BYU65644 CIQ65644 CSM65644 DCI65644 DME65644 DWA65644 EFW65644 EPS65644 EZO65644 FJK65644 FTG65644 GDC65644 GMY65644 GWU65644 HGQ65644 HQM65644 IAI65644 IKE65644 IUA65644 JDW65644 JNS65644 JXO65644 KHK65644 KRG65644 LBC65644 LKY65644 LUU65644 MEQ65644 MOM65644 MYI65644 NIE65644 NSA65644 OBW65644 OLS65644 OVO65644 PFK65644 PPG65644 PZC65644 QIY65644 QSU65644 RCQ65644 RMM65644 RWI65644 SGE65644 SQA65644 SZW65644 TJS65644 TTO65644 UDK65644 UNG65644 UXC65644 VGY65644 VQU65644 WAQ65644 WKM65644 WUI65644 HW131180 RS131180 ABO131180 ALK131180 AVG131180 BFC131180 BOY131180 BYU131180 CIQ131180 CSM131180 DCI131180 DME131180 DWA131180 EFW131180 EPS131180 EZO131180 FJK131180 FTG131180 GDC131180 GMY131180 GWU131180 HGQ131180 HQM131180 IAI131180 IKE131180 IUA131180 JDW131180 JNS131180 JXO131180 KHK131180 KRG131180 LBC131180 LKY131180 LUU131180 MEQ131180 MOM131180 MYI131180 NIE131180 NSA131180 OBW131180 OLS131180 OVO131180 PFK131180 PPG131180 PZC131180 QIY131180 QSU131180 RCQ131180 RMM131180 RWI131180 SGE131180 SQA131180 SZW131180 TJS131180 TTO131180 UDK131180 UNG131180 UXC131180 VGY131180 VQU131180 WAQ131180 WKM131180 WUI131180 HW196716 RS196716 ABO196716 ALK196716 AVG196716 BFC196716 BOY196716 BYU196716 CIQ196716 CSM196716 DCI196716 DME196716 DWA196716 EFW196716 EPS196716 EZO196716 FJK196716 FTG196716 GDC196716 GMY196716 GWU196716 HGQ196716 HQM196716 IAI196716 IKE196716 IUA196716 JDW196716 JNS196716 JXO196716 KHK196716 KRG196716 LBC196716 LKY196716 LUU196716 MEQ196716 MOM196716 MYI196716 NIE196716 NSA196716 OBW196716 OLS196716 OVO196716 PFK196716 PPG196716 PZC196716 QIY196716 QSU196716 RCQ196716 RMM196716 RWI196716 SGE196716 SQA196716 SZW196716 TJS196716 TTO196716 UDK196716 UNG196716 UXC196716 VGY196716 VQU196716 WAQ196716 WKM196716 WUI196716 HW262252 RS262252 ABO262252 ALK262252 AVG262252 BFC262252 BOY262252 BYU262252 CIQ262252 CSM262252 DCI262252 DME262252 DWA262252 EFW262252 EPS262252 EZO262252 FJK262252 FTG262252 GDC262252 GMY262252 GWU262252 HGQ262252 HQM262252 IAI262252 IKE262252 IUA262252 JDW262252 JNS262252 JXO262252 KHK262252 KRG262252 LBC262252 LKY262252 LUU262252 MEQ262252 MOM262252 MYI262252 NIE262252 NSA262252 OBW262252 OLS262252 OVO262252 PFK262252 PPG262252 PZC262252 QIY262252 QSU262252 RCQ262252 RMM262252 RWI262252 SGE262252 SQA262252 SZW262252 TJS262252 TTO262252 UDK262252 UNG262252 UXC262252 VGY262252 VQU262252 WAQ262252 WKM262252 WUI262252 HW327788 RS327788 ABO327788 ALK327788 AVG327788 BFC327788 BOY327788 BYU327788 CIQ327788 CSM327788 DCI327788 DME327788 DWA327788 EFW327788 EPS327788 EZO327788 FJK327788 FTG327788 GDC327788 GMY327788 GWU327788 HGQ327788 HQM327788 IAI327788 IKE327788 IUA327788 JDW327788 JNS327788 JXO327788 KHK327788 KRG327788 LBC327788 LKY327788 LUU327788 MEQ327788 MOM327788 MYI327788 NIE327788 NSA327788 OBW327788 OLS327788 OVO327788 PFK327788 PPG327788 PZC327788 QIY327788 QSU327788 RCQ327788 RMM327788 RWI327788 SGE327788 SQA327788 SZW327788 TJS327788 TTO327788 UDK327788 UNG327788 UXC327788 VGY327788 VQU327788 WAQ327788 WKM327788 WUI327788 HW393324 RS393324 ABO393324 ALK393324 AVG393324 BFC393324 BOY393324 BYU393324 CIQ393324 CSM393324 DCI393324 DME393324 DWA393324 EFW393324 EPS393324 EZO393324 FJK393324 FTG393324 GDC393324 GMY393324 GWU393324 HGQ393324 HQM393324 IAI393324 IKE393324 IUA393324 JDW393324 JNS393324 JXO393324 KHK393324 KRG393324 LBC393324 LKY393324 LUU393324 MEQ393324 MOM393324 MYI393324 NIE393324 NSA393324 OBW393324 OLS393324 OVO393324 PFK393324 PPG393324 PZC393324 QIY393324 QSU393324 RCQ393324 RMM393324 RWI393324 SGE393324 SQA393324 SZW393324 TJS393324 TTO393324 UDK393324 UNG393324 UXC393324 VGY393324 VQU393324 WAQ393324 WKM393324 WUI393324 HW458860 RS458860 ABO458860 ALK458860 AVG458860 BFC458860 BOY458860 BYU458860 CIQ458860 CSM458860 DCI458860 DME458860 DWA458860 EFW458860 EPS458860 EZO458860 FJK458860 FTG458860 GDC458860 GMY458860 GWU458860 HGQ458860 HQM458860 IAI458860 IKE458860 IUA458860 JDW458860 JNS458860 JXO458860 KHK458860 KRG458860 LBC458860 LKY458860 LUU458860 MEQ458860 MOM458860 MYI458860 NIE458860 NSA458860 OBW458860 OLS458860 OVO458860 PFK458860 PPG458860 PZC458860 QIY458860 QSU458860 RCQ458860 RMM458860 RWI458860 SGE458860 SQA458860 SZW458860 TJS458860 TTO458860 UDK458860 UNG458860 UXC458860 VGY458860 VQU458860 WAQ458860 WKM458860 WUI458860 HW524396 RS524396 ABO524396 ALK524396 AVG524396 BFC524396 BOY524396 BYU524396 CIQ524396 CSM524396 DCI524396 DME524396 DWA524396 EFW524396 EPS524396 EZO524396 FJK524396 FTG524396 GDC524396 GMY524396 GWU524396 HGQ524396 HQM524396 IAI524396 IKE524396 IUA524396 JDW524396 JNS524396 JXO524396 KHK524396 KRG524396 LBC524396 LKY524396 LUU524396 MEQ524396 MOM524396 MYI524396 NIE524396 NSA524396 OBW524396 OLS524396 OVO524396 PFK524396 PPG524396 PZC524396 QIY524396 QSU524396 RCQ524396 RMM524396 RWI524396 SGE524396 SQA524396 SZW524396 TJS524396 TTO524396 UDK524396 UNG524396 UXC524396 VGY524396 VQU524396 WAQ524396 WKM524396 WUI524396 HW589932 RS589932 ABO589932 ALK589932 AVG589932 BFC589932 BOY589932 BYU589932 CIQ589932 CSM589932 DCI589932 DME589932 DWA589932 EFW589932 EPS589932 EZO589932 FJK589932 FTG589932 GDC589932 GMY589932 GWU589932 HGQ589932 HQM589932 IAI589932 IKE589932 IUA589932 JDW589932 JNS589932 JXO589932 KHK589932 KRG589932 LBC589932 LKY589932 LUU589932 MEQ589932 MOM589932 MYI589932 NIE589932 NSA589932 OBW589932 OLS589932 OVO589932 PFK589932 PPG589932 PZC589932 QIY589932 QSU589932 RCQ589932 RMM589932 RWI589932 SGE589932 SQA589932 SZW589932 TJS589932 TTO589932 UDK589932 UNG589932 UXC589932 VGY589932 VQU589932 WAQ589932 WKM589932 WUI589932 HW655468 RS655468 ABO655468 ALK655468 AVG655468 BFC655468 BOY655468 BYU655468 CIQ655468 CSM655468 DCI655468 DME655468 DWA655468 EFW655468 EPS655468 EZO655468 FJK655468 FTG655468 GDC655468 GMY655468 GWU655468 HGQ655468 HQM655468 IAI655468 IKE655468 IUA655468 JDW655468 JNS655468 JXO655468 KHK655468 KRG655468 LBC655468 LKY655468 LUU655468 MEQ655468 MOM655468 MYI655468 NIE655468 NSA655468 OBW655468 OLS655468 OVO655468 PFK655468 PPG655468 PZC655468 QIY655468 QSU655468 RCQ655468 RMM655468 RWI655468 SGE655468 SQA655468 SZW655468 TJS655468 TTO655468 UDK655468 UNG655468 UXC655468 VGY655468 VQU655468 WAQ655468 WKM655468 WUI655468 HW721004 RS721004 ABO721004 ALK721004 AVG721004 BFC721004 BOY721004 BYU721004 CIQ721004 CSM721004 DCI721004 DME721004 DWA721004 EFW721004 EPS721004 EZO721004 FJK721004 FTG721004 GDC721004 GMY721004 GWU721004 HGQ721004 HQM721004 IAI721004 IKE721004 IUA721004 JDW721004 JNS721004 JXO721004 KHK721004 KRG721004 LBC721004 LKY721004 LUU721004 MEQ721004 MOM721004 MYI721004 NIE721004 NSA721004 OBW721004 OLS721004 OVO721004 PFK721004 PPG721004 PZC721004 QIY721004 QSU721004 RCQ721004 RMM721004 RWI721004 SGE721004 SQA721004 SZW721004 TJS721004 TTO721004 UDK721004 UNG721004 UXC721004 VGY721004 VQU721004 WAQ721004 WKM721004 WUI721004 HW786540 RS786540 ABO786540 ALK786540 AVG786540 BFC786540 BOY786540 BYU786540 CIQ786540 CSM786540 DCI786540 DME786540 DWA786540 EFW786540 EPS786540 EZO786540 FJK786540 FTG786540 GDC786540 GMY786540 GWU786540 HGQ786540 HQM786540 IAI786540 IKE786540 IUA786540 JDW786540 JNS786540 JXO786540 KHK786540 KRG786540 LBC786540 LKY786540 LUU786540 MEQ786540 MOM786540 MYI786540 NIE786540 NSA786540 OBW786540 OLS786540 OVO786540 PFK786540 PPG786540 PZC786540 QIY786540 QSU786540 RCQ786540 RMM786540 RWI786540 SGE786540 SQA786540 SZW786540 TJS786540 TTO786540 UDK786540 UNG786540 UXC786540 VGY786540 VQU786540 WAQ786540 WKM786540 WUI786540 HW852076 RS852076 ABO852076 ALK852076 AVG852076 BFC852076 BOY852076 BYU852076 CIQ852076 CSM852076 DCI852076 DME852076 DWA852076 EFW852076 EPS852076 EZO852076 FJK852076 FTG852076 GDC852076 GMY852076 GWU852076 HGQ852076 HQM852076 IAI852076 IKE852076 IUA852076 JDW852076 JNS852076 JXO852076 KHK852076 KRG852076 LBC852076 LKY852076 LUU852076 MEQ852076 MOM852076 MYI852076 NIE852076 NSA852076 OBW852076 OLS852076 OVO852076 PFK852076 PPG852076 PZC852076 QIY852076 QSU852076 RCQ852076 RMM852076 RWI852076 SGE852076 SQA852076 SZW852076 TJS852076 TTO852076 UDK852076 UNG852076 UXC852076 VGY852076 VQU852076 WAQ852076 WKM852076 WUI852076 HW917612 RS917612 ABO917612 ALK917612 AVG917612 BFC917612 BOY917612 BYU917612 CIQ917612 CSM917612 DCI917612 DME917612 DWA917612 EFW917612 EPS917612 EZO917612 FJK917612 FTG917612 GDC917612 GMY917612 GWU917612 HGQ917612 HQM917612 IAI917612 IKE917612 IUA917612 JDW917612 JNS917612 JXO917612 KHK917612 KRG917612 LBC917612 LKY917612 LUU917612 MEQ917612 MOM917612 MYI917612 NIE917612 NSA917612 OBW917612 OLS917612 OVO917612 PFK917612 PPG917612 PZC917612 QIY917612 QSU917612 RCQ917612 RMM917612 RWI917612 SGE917612 SQA917612 SZW917612 TJS917612 TTO917612 UDK917612 UNG917612 UXC917612 VGY917612 VQU917612 WAQ917612 WKM917612 WUI917612 HW983148 RS983148 ABO983148 ALK983148 AVG983148 BFC983148 BOY983148 BYU983148 CIQ983148 CSM983148 DCI983148 DME983148 DWA983148 EFW983148 EPS983148 EZO983148 FJK983148 FTG983148 GDC983148 GMY983148 GWU983148 HGQ983148 HQM983148 IAI983148 IKE983148 IUA983148 JDW983148 JNS983148 JXO983148 KHK983148 KRG983148 LBC983148 LKY983148 LUU983148 MEQ983148 MOM983148 MYI983148 NIE983148 NSA983148 OBW983148 OLS983148 OVO983148 PFK983148 PPG983148 PZC983148 QIY983148 QSU983148 RCQ983148 RMM983148 RWI983148 SGE983148 SQA983148 SZW983148 TJS983148 TTO983148 UDK983148 UNG983148 UXC983148 VGY983148 VQU983148 WAQ983148 WKM983148 WUI983148 HW65655 RS65655 ABO65655 ALK65655 AVG65655 BFC65655 BOY65655 BYU65655 CIQ65655 CSM65655 DCI65655 DME65655 DWA65655 EFW65655 EPS65655 EZO65655 FJK65655 FTG65655 GDC65655 GMY65655 GWU65655 HGQ65655 HQM65655 IAI65655 IKE65655 IUA65655 JDW65655 JNS65655 JXO65655 KHK65655 KRG65655 LBC65655 LKY65655 LUU65655 MEQ65655 MOM65655 MYI65655 NIE65655 NSA65655 OBW65655 OLS65655 OVO65655 PFK65655 PPG65655 PZC65655 QIY65655 QSU65655 RCQ65655 RMM65655 RWI65655 SGE65655 SQA65655 SZW65655 TJS65655 TTO65655 UDK65655 UNG65655 UXC65655 VGY65655 VQU65655 WAQ65655 WKM65655 WUI65655 HW131191 RS131191 ABO131191 ALK131191 AVG131191 BFC131191 BOY131191 BYU131191 CIQ131191 CSM131191 DCI131191 DME131191 DWA131191 EFW131191 EPS131191 EZO131191 FJK131191 FTG131191 GDC131191 GMY131191 GWU131191 HGQ131191 HQM131191 IAI131191 IKE131191 IUA131191 JDW131191 JNS131191 JXO131191 KHK131191 KRG131191 LBC131191 LKY131191 LUU131191 MEQ131191 MOM131191 MYI131191 NIE131191 NSA131191 OBW131191 OLS131191 OVO131191 PFK131191 PPG131191 PZC131191 QIY131191 QSU131191 RCQ131191 RMM131191 RWI131191 SGE131191 SQA131191 SZW131191 TJS131191 TTO131191 UDK131191 UNG131191 UXC131191 VGY131191 VQU131191 WAQ131191 WKM131191 WUI131191 HW196727 RS196727 ABO196727 ALK196727 AVG196727 BFC196727 BOY196727 BYU196727 CIQ196727 CSM196727 DCI196727 DME196727 DWA196727 EFW196727 EPS196727 EZO196727 FJK196727 FTG196727 GDC196727 GMY196727 GWU196727 HGQ196727 HQM196727 IAI196727 IKE196727 IUA196727 JDW196727 JNS196727 JXO196727 KHK196727 KRG196727 LBC196727 LKY196727 LUU196727 MEQ196727 MOM196727 MYI196727 NIE196727 NSA196727 OBW196727 OLS196727 OVO196727 PFK196727 PPG196727 PZC196727 QIY196727 QSU196727 RCQ196727 RMM196727 RWI196727 SGE196727 SQA196727 SZW196727 TJS196727 TTO196727 UDK196727 UNG196727 UXC196727 VGY196727 VQU196727 WAQ196727 WKM196727 WUI196727 HW262263 RS262263 ABO262263 ALK262263 AVG262263 BFC262263 BOY262263 BYU262263 CIQ262263 CSM262263 DCI262263 DME262263 DWA262263 EFW262263 EPS262263 EZO262263 FJK262263 FTG262263 GDC262263 GMY262263 GWU262263 HGQ262263 HQM262263 IAI262263 IKE262263 IUA262263 JDW262263 JNS262263 JXO262263 KHK262263 KRG262263 LBC262263 LKY262263 LUU262263 MEQ262263 MOM262263 MYI262263 NIE262263 NSA262263 OBW262263 OLS262263 OVO262263 PFK262263 PPG262263 PZC262263 QIY262263 QSU262263 RCQ262263 RMM262263 RWI262263 SGE262263 SQA262263 SZW262263 TJS262263 TTO262263 UDK262263 UNG262263 UXC262263 VGY262263 VQU262263 WAQ262263 WKM262263 WUI262263 HW327799 RS327799 ABO327799 ALK327799 AVG327799 BFC327799 BOY327799 BYU327799 CIQ327799 CSM327799 DCI327799 DME327799 DWA327799 EFW327799 EPS327799 EZO327799 FJK327799 FTG327799 GDC327799 GMY327799 GWU327799 HGQ327799 HQM327799 IAI327799 IKE327799 IUA327799 JDW327799 JNS327799 JXO327799 KHK327799 KRG327799 LBC327799 LKY327799 LUU327799 MEQ327799 MOM327799 MYI327799 NIE327799 NSA327799 OBW327799 OLS327799 OVO327799 PFK327799 PPG327799 PZC327799 QIY327799 QSU327799 RCQ327799 RMM327799 RWI327799 SGE327799 SQA327799 SZW327799 TJS327799 TTO327799 UDK327799 UNG327799 UXC327799 VGY327799 VQU327799 WAQ327799 WKM327799 WUI327799 HW393335 RS393335 ABO393335 ALK393335 AVG393335 BFC393335 BOY393335 BYU393335 CIQ393335 CSM393335 DCI393335 DME393335 DWA393335 EFW393335 EPS393335 EZO393335 FJK393335 FTG393335 GDC393335 GMY393335 GWU393335 HGQ393335 HQM393335 IAI393335 IKE393335 IUA393335 JDW393335 JNS393335 JXO393335 KHK393335 KRG393335 LBC393335 LKY393335 LUU393335 MEQ393335 MOM393335 MYI393335 NIE393335 NSA393335 OBW393335 OLS393335 OVO393335 PFK393335 PPG393335 PZC393335 QIY393335 QSU393335 RCQ393335 RMM393335 RWI393335 SGE393335 SQA393335 SZW393335 TJS393335 TTO393335 UDK393335 UNG393335 UXC393335 VGY393335 VQU393335 WAQ393335 WKM393335 WUI393335 HW458871 RS458871 ABO458871 ALK458871 AVG458871 BFC458871 BOY458871 BYU458871 CIQ458871 CSM458871 DCI458871 DME458871 DWA458871 EFW458871 EPS458871 EZO458871 FJK458871 FTG458871 GDC458871 GMY458871 GWU458871 HGQ458871 HQM458871 IAI458871 IKE458871 IUA458871 JDW458871 JNS458871 JXO458871 KHK458871 KRG458871 LBC458871 LKY458871 LUU458871 MEQ458871 MOM458871 MYI458871 NIE458871 NSA458871 OBW458871 OLS458871 OVO458871 PFK458871 PPG458871 PZC458871 QIY458871 QSU458871 RCQ458871 RMM458871 RWI458871 SGE458871 SQA458871 SZW458871 TJS458871 TTO458871 UDK458871 UNG458871 UXC458871 VGY458871 VQU458871 WAQ458871 WKM458871 WUI458871 HW524407 RS524407 ABO524407 ALK524407 AVG524407 BFC524407 BOY524407 BYU524407 CIQ524407 CSM524407 DCI524407 DME524407 DWA524407 EFW524407 EPS524407 EZO524407 FJK524407 FTG524407 GDC524407 GMY524407 GWU524407 HGQ524407 HQM524407 IAI524407 IKE524407 IUA524407 JDW524407 JNS524407 JXO524407 KHK524407 KRG524407 LBC524407 LKY524407 LUU524407 MEQ524407 MOM524407 MYI524407 NIE524407 NSA524407 OBW524407 OLS524407 OVO524407 PFK524407 PPG524407 PZC524407 QIY524407 QSU524407 RCQ524407 RMM524407 RWI524407 SGE524407 SQA524407 SZW524407 TJS524407 TTO524407 UDK524407 UNG524407 UXC524407 VGY524407 VQU524407 WAQ524407 WKM524407 WUI524407 HW589943 RS589943 ABO589943 ALK589943 AVG589943 BFC589943 BOY589943 BYU589943 CIQ589943 CSM589943 DCI589943 DME589943 DWA589943 EFW589943 EPS589943 EZO589943 FJK589943 FTG589943 GDC589943 GMY589943 GWU589943 HGQ589943 HQM589943 IAI589943 IKE589943 IUA589943 JDW589943 JNS589943 JXO589943 KHK589943 KRG589943 LBC589943 LKY589943 LUU589943 MEQ589943 MOM589943 MYI589943 NIE589943 NSA589943 OBW589943 OLS589943 OVO589943 PFK589943 PPG589943 PZC589943 QIY589943 QSU589943 RCQ589943 RMM589943 RWI589943 SGE589943 SQA589943 SZW589943 TJS589943 TTO589943 UDK589943 UNG589943 UXC589943 VGY589943 VQU589943 WAQ589943 WKM589943 WUI589943 HW655479 RS655479 ABO655479 ALK655479 AVG655479 BFC655479 BOY655479 BYU655479 CIQ655479 CSM655479 DCI655479 DME655479 DWA655479 EFW655479 EPS655479 EZO655479 FJK655479 FTG655479 GDC655479 GMY655479 GWU655479 HGQ655479 HQM655479 IAI655479 IKE655479 IUA655479 JDW655479 JNS655479 JXO655479 KHK655479 KRG655479 LBC655479 LKY655479 LUU655479 MEQ655479 MOM655479 MYI655479 NIE655479 NSA655479 OBW655479 OLS655479 OVO655479 PFK655479 PPG655479 PZC655479 QIY655479 QSU655479 RCQ655479 RMM655479 RWI655479 SGE655479 SQA655479 SZW655479 TJS655479 TTO655479 UDK655479 UNG655479 UXC655479 VGY655479 VQU655479 WAQ655479 WKM655479 WUI655479 HW721015 RS721015 ABO721015 ALK721015 AVG721015 BFC721015 BOY721015 BYU721015 CIQ721015 CSM721015 DCI721015 DME721015 DWA721015 EFW721015 EPS721015 EZO721015 FJK721015 FTG721015 GDC721015 GMY721015 GWU721015 HGQ721015 HQM721015 IAI721015 IKE721015 IUA721015 JDW721015 JNS721015 JXO721015 KHK721015 KRG721015 LBC721015 LKY721015 LUU721015 MEQ721015 MOM721015 MYI721015 NIE721015 NSA721015 OBW721015 OLS721015 OVO721015 PFK721015 PPG721015 PZC721015 QIY721015 QSU721015 RCQ721015 RMM721015 RWI721015 SGE721015 SQA721015 SZW721015 TJS721015 TTO721015 UDK721015 UNG721015 UXC721015 VGY721015 VQU721015 WAQ721015 WKM721015 WUI721015 HW786551 RS786551 ABO786551 ALK786551 AVG786551 BFC786551 BOY786551 BYU786551 CIQ786551 CSM786551 DCI786551 DME786551 DWA786551 EFW786551 EPS786551 EZO786551 FJK786551 FTG786551 GDC786551 GMY786551 GWU786551 HGQ786551 HQM786551 IAI786551 IKE786551 IUA786551 JDW786551 JNS786551 JXO786551 KHK786551 KRG786551 LBC786551 LKY786551 LUU786551 MEQ786551 MOM786551 MYI786551 NIE786551 NSA786551 OBW786551 OLS786551 OVO786551 PFK786551 PPG786551 PZC786551 QIY786551 QSU786551 RCQ786551 RMM786551 RWI786551 SGE786551 SQA786551 SZW786551 TJS786551 TTO786551 UDK786551 UNG786551 UXC786551 VGY786551 VQU786551 WAQ786551 WKM786551 WUI786551 HW852087 RS852087 ABO852087 ALK852087 AVG852087 BFC852087 BOY852087 BYU852087 CIQ852087 CSM852087 DCI852087 DME852087 DWA852087 EFW852087 EPS852087 EZO852087 FJK852087 FTG852087 GDC852087 GMY852087 GWU852087 HGQ852087 HQM852087 IAI852087 IKE852087 IUA852087 JDW852087 JNS852087 JXO852087 KHK852087 KRG852087 LBC852087 LKY852087 LUU852087 MEQ852087 MOM852087 MYI852087 NIE852087 NSA852087 OBW852087 OLS852087 OVO852087 PFK852087 PPG852087 PZC852087 QIY852087 QSU852087 RCQ852087 RMM852087 RWI852087 SGE852087 SQA852087 SZW852087 TJS852087 TTO852087 UDK852087 UNG852087 UXC852087 VGY852087 VQU852087 WAQ852087 WKM852087 WUI852087 HW917623 RS917623 ABO917623 ALK917623 AVG917623 BFC917623 BOY917623 BYU917623 CIQ917623 CSM917623 DCI917623 DME917623 DWA917623 EFW917623 EPS917623 EZO917623 FJK917623 FTG917623 GDC917623 GMY917623 GWU917623 HGQ917623 HQM917623 IAI917623 IKE917623 IUA917623 JDW917623 JNS917623 JXO917623 KHK917623 KRG917623 LBC917623 LKY917623 LUU917623 MEQ917623 MOM917623 MYI917623 NIE917623 NSA917623 OBW917623 OLS917623 OVO917623 PFK917623 PPG917623 PZC917623 QIY917623 QSU917623 RCQ917623 RMM917623 RWI917623 SGE917623 SQA917623 SZW917623 TJS917623 TTO917623 UDK917623 UNG917623 UXC917623 VGY917623 VQU917623 WAQ917623 WKM917623 WUI917623 HW983159 RS983159 ABO983159 ALK983159 AVG983159 BFC983159 BOY983159 BYU983159 CIQ983159 CSM983159 DCI983159 DME983159 DWA983159 EFW983159 EPS983159 EZO983159 FJK983159 FTG983159 GDC983159 GMY983159 GWU983159 HGQ983159 HQM983159 IAI983159 IKE983159 IUA983159 JDW983159 JNS983159 JXO983159 KHK983159 KRG983159 LBC983159 LKY983159 LUU983159 MEQ983159 MOM983159 MYI983159 NIE983159 NSA983159 OBW983159 OLS983159 OVO983159 PFK983159 PPG983159 PZC983159 QIY983159 QSU983159 RCQ983159 RMM983159 RWI983159 SGE983159 SQA983159 SZW983159 TJS983159 TTO983159 UDK983159 UNG983159 UXC983159 VGY983159 VQU983159 WAQ983159 WKM983159 WUI983159 HW65650 RS65650 ABO65650 ALK65650 AVG65650 BFC65650 BOY65650 BYU65650 CIQ65650 CSM65650 DCI65650 DME65650 DWA65650 EFW65650 EPS65650 EZO65650 FJK65650 FTG65650 GDC65650 GMY65650 GWU65650 HGQ65650 HQM65650 IAI65650 IKE65650 IUA65650 JDW65650 JNS65650 JXO65650 KHK65650 KRG65650 LBC65650 LKY65650 LUU65650 MEQ65650 MOM65650 MYI65650 NIE65650 NSA65650 OBW65650 OLS65650 OVO65650 PFK65650 PPG65650 PZC65650 QIY65650 QSU65650 RCQ65650 RMM65650 RWI65650 SGE65650 SQA65650 SZW65650 TJS65650 TTO65650 UDK65650 UNG65650 UXC65650 VGY65650 VQU65650 WAQ65650 WKM65650 WUI65650 HW131186 RS131186 ABO131186 ALK131186 AVG131186 BFC131186 BOY131186 BYU131186 CIQ131186 CSM131186 DCI131186 DME131186 DWA131186 EFW131186 EPS131186 EZO131186 FJK131186 FTG131186 GDC131186 GMY131186 GWU131186 HGQ131186 HQM131186 IAI131186 IKE131186 IUA131186 JDW131186 JNS131186 JXO131186 KHK131186 KRG131186 LBC131186 LKY131186 LUU131186 MEQ131186 MOM131186 MYI131186 NIE131186 NSA131186 OBW131186 OLS131186 OVO131186 PFK131186 PPG131186 PZC131186 QIY131186 QSU131186 RCQ131186 RMM131186 RWI131186 SGE131186 SQA131186 SZW131186 TJS131186 TTO131186 UDK131186 UNG131186 UXC131186 VGY131186 VQU131186 WAQ131186 WKM131186 WUI131186 HW196722 RS196722 ABO196722 ALK196722 AVG196722 BFC196722 BOY196722 BYU196722 CIQ196722 CSM196722 DCI196722 DME196722 DWA196722 EFW196722 EPS196722 EZO196722 FJK196722 FTG196722 GDC196722 GMY196722 GWU196722 HGQ196722 HQM196722 IAI196722 IKE196722 IUA196722 JDW196722 JNS196722 JXO196722 KHK196722 KRG196722 LBC196722 LKY196722 LUU196722 MEQ196722 MOM196722 MYI196722 NIE196722 NSA196722 OBW196722 OLS196722 OVO196722 PFK196722 PPG196722 PZC196722 QIY196722 QSU196722 RCQ196722 RMM196722 RWI196722 SGE196722 SQA196722 SZW196722 TJS196722 TTO196722 UDK196722 UNG196722 UXC196722 VGY196722 VQU196722 WAQ196722 WKM196722 WUI196722 HW262258 RS262258 ABO262258 ALK262258 AVG262258 BFC262258 BOY262258 BYU262258 CIQ262258 CSM262258 DCI262258 DME262258 DWA262258 EFW262258 EPS262258 EZO262258 FJK262258 FTG262258 GDC262258 GMY262258 GWU262258 HGQ262258 HQM262258 IAI262258 IKE262258 IUA262258 JDW262258 JNS262258 JXO262258 KHK262258 KRG262258 LBC262258 LKY262258 LUU262258 MEQ262258 MOM262258 MYI262258 NIE262258 NSA262258 OBW262258 OLS262258 OVO262258 PFK262258 PPG262258 PZC262258 QIY262258 QSU262258 RCQ262258 RMM262258 RWI262258 SGE262258 SQA262258 SZW262258 TJS262258 TTO262258 UDK262258 UNG262258 UXC262258 VGY262258 VQU262258 WAQ262258 WKM262258 WUI262258 HW327794 RS327794 ABO327794 ALK327794 AVG327794 BFC327794 BOY327794 BYU327794 CIQ327794 CSM327794 DCI327794 DME327794 DWA327794 EFW327794 EPS327794 EZO327794 FJK327794 FTG327794 GDC327794 GMY327794 GWU327794 HGQ327794 HQM327794 IAI327794 IKE327794 IUA327794 JDW327794 JNS327794 JXO327794 KHK327794 KRG327794 LBC327794 LKY327794 LUU327794 MEQ327794 MOM327794 MYI327794 NIE327794 NSA327794 OBW327794 OLS327794 OVO327794 PFK327794 PPG327794 PZC327794 QIY327794 QSU327794 RCQ327794 RMM327794 RWI327794 SGE327794 SQA327794 SZW327794 TJS327794 TTO327794 UDK327794 UNG327794 UXC327794 VGY327794 VQU327794 WAQ327794 WKM327794 WUI327794 HW393330 RS393330 ABO393330 ALK393330 AVG393330 BFC393330 BOY393330 BYU393330 CIQ393330 CSM393330 DCI393330 DME393330 DWA393330 EFW393330 EPS393330 EZO393330 FJK393330 FTG393330 GDC393330 GMY393330 GWU393330 HGQ393330 HQM393330 IAI393330 IKE393330 IUA393330 JDW393330 JNS393330 JXO393330 KHK393330 KRG393330 LBC393330 LKY393330 LUU393330 MEQ393330 MOM393330 MYI393330 NIE393330 NSA393330 OBW393330 OLS393330 OVO393330 PFK393330 PPG393330 PZC393330 QIY393330 QSU393330 RCQ393330 RMM393330 RWI393330 SGE393330 SQA393330 SZW393330 TJS393330 TTO393330 UDK393330 UNG393330 UXC393330 VGY393330 VQU393330 WAQ393330 WKM393330 WUI393330 HW458866 RS458866 ABO458866 ALK458866 AVG458866 BFC458866 BOY458866 BYU458866 CIQ458866 CSM458866 DCI458866 DME458866 DWA458866 EFW458866 EPS458866 EZO458866 FJK458866 FTG458866 GDC458866 GMY458866 GWU458866 HGQ458866 HQM458866 IAI458866 IKE458866 IUA458866 JDW458866 JNS458866 JXO458866 KHK458866 KRG458866 LBC458866 LKY458866 LUU458866 MEQ458866 MOM458866 MYI458866 NIE458866 NSA458866 OBW458866 OLS458866 OVO458866 PFK458866 PPG458866 PZC458866 QIY458866 QSU458866 RCQ458866 RMM458866 RWI458866 SGE458866 SQA458866 SZW458866 TJS458866 TTO458866 UDK458866 UNG458866 UXC458866 VGY458866 VQU458866 WAQ458866 WKM458866 WUI458866 HW524402 RS524402 ABO524402 ALK524402 AVG524402 BFC524402 BOY524402 BYU524402 CIQ524402 CSM524402 DCI524402 DME524402 DWA524402 EFW524402 EPS524402 EZO524402 FJK524402 FTG524402 GDC524402 GMY524402 GWU524402 HGQ524402 HQM524402 IAI524402 IKE524402 IUA524402 JDW524402 JNS524402 JXO524402 KHK524402 KRG524402 LBC524402 LKY524402 LUU524402 MEQ524402 MOM524402 MYI524402 NIE524402 NSA524402 OBW524402 OLS524402 OVO524402 PFK524402 PPG524402 PZC524402 QIY524402 QSU524402 RCQ524402 RMM524402 RWI524402 SGE524402 SQA524402 SZW524402 TJS524402 TTO524402 UDK524402 UNG524402 UXC524402 VGY524402 VQU524402 WAQ524402 WKM524402 WUI524402 HW589938 RS589938 ABO589938 ALK589938 AVG589938 BFC589938 BOY589938 BYU589938 CIQ589938 CSM589938 DCI589938 DME589938 DWA589938 EFW589938 EPS589938 EZO589938 FJK589938 FTG589938 GDC589938 GMY589938 GWU589938 HGQ589938 HQM589938 IAI589938 IKE589938 IUA589938 JDW589938 JNS589938 JXO589938 KHK589938 KRG589938 LBC589938 LKY589938 LUU589938 MEQ589938 MOM589938 MYI589938 NIE589938 NSA589938 OBW589938 OLS589938 OVO589938 PFK589938 PPG589938 PZC589938 QIY589938 QSU589938 RCQ589938 RMM589938 RWI589938 SGE589938 SQA589938 SZW589938 TJS589938 TTO589938 UDK589938 UNG589938 UXC589938 VGY589938 VQU589938 WAQ589938 WKM589938 WUI589938 HW655474 RS655474 ABO655474 ALK655474 AVG655474 BFC655474 BOY655474 BYU655474 CIQ655474 CSM655474 DCI655474 DME655474 DWA655474 EFW655474 EPS655474 EZO655474 FJK655474 FTG655474 GDC655474 GMY655474 GWU655474 HGQ655474 HQM655474 IAI655474 IKE655474 IUA655474 JDW655474 JNS655474 JXO655474 KHK655474 KRG655474 LBC655474 LKY655474 LUU655474 MEQ655474 MOM655474 MYI655474 NIE655474 NSA655474 OBW655474 OLS655474 OVO655474 PFK655474 PPG655474 PZC655474 QIY655474 QSU655474 RCQ655474 RMM655474 RWI655474 SGE655474 SQA655474 SZW655474 TJS655474 TTO655474 UDK655474 UNG655474 UXC655474 VGY655474 VQU655474 WAQ655474 WKM655474 WUI655474 HW721010 RS721010 ABO721010 ALK721010 AVG721010 BFC721010 BOY721010 BYU721010 CIQ721010 CSM721010 DCI721010 DME721010 DWA721010 EFW721010 EPS721010 EZO721010 FJK721010 FTG721010 GDC721010 GMY721010 GWU721010 HGQ721010 HQM721010 IAI721010 IKE721010 IUA721010 JDW721010 JNS721010 JXO721010 KHK721010 KRG721010 LBC721010 LKY721010 LUU721010 MEQ721010 MOM721010 MYI721010 NIE721010 NSA721010 OBW721010 OLS721010 OVO721010 PFK721010 PPG721010 PZC721010 QIY721010 QSU721010 RCQ721010 RMM721010 RWI721010 SGE721010 SQA721010 SZW721010 TJS721010 TTO721010 UDK721010 UNG721010 UXC721010 VGY721010 VQU721010 WAQ721010 WKM721010 WUI721010 HW786546 RS786546 ABO786546 ALK786546 AVG786546 BFC786546 BOY786546 BYU786546 CIQ786546 CSM786546 DCI786546 DME786546 DWA786546 EFW786546 EPS786546 EZO786546 FJK786546 FTG786546 GDC786546 GMY786546 GWU786546 HGQ786546 HQM786546 IAI786546 IKE786546 IUA786546 JDW786546 JNS786546 JXO786546 KHK786546 KRG786546 LBC786546 LKY786546 LUU786546 MEQ786546 MOM786546 MYI786546 NIE786546 NSA786546 OBW786546 OLS786546 OVO786546 PFK786546 PPG786546 PZC786546 QIY786546 QSU786546 RCQ786546 RMM786546 RWI786546 SGE786546 SQA786546 SZW786546 TJS786546 TTO786546 UDK786546 UNG786546 UXC786546 VGY786546 VQU786546 WAQ786546 WKM786546 WUI786546 HW852082 RS852082 ABO852082 ALK852082 AVG852082 BFC852082 BOY852082 BYU852082 CIQ852082 CSM852082 DCI852082 DME852082 DWA852082 EFW852082 EPS852082 EZO852082 FJK852082 FTG852082 GDC852082 GMY852082 GWU852082 HGQ852082 HQM852082 IAI852082 IKE852082 IUA852082 JDW852082 JNS852082 JXO852082 KHK852082 KRG852082 LBC852082 LKY852082 LUU852082 MEQ852082 MOM852082 MYI852082 NIE852082 NSA852082 OBW852082 OLS852082 OVO852082 PFK852082 PPG852082 PZC852082 QIY852082 QSU852082 RCQ852082 RMM852082 RWI852082 SGE852082 SQA852082 SZW852082 TJS852082 TTO852082 UDK852082 UNG852082 UXC852082 VGY852082 VQU852082 WAQ852082 WKM852082 WUI852082 HW917618 RS917618 ABO917618 ALK917618 AVG917618 BFC917618 BOY917618 BYU917618 CIQ917618 CSM917618 DCI917618 DME917618 DWA917618 EFW917618 EPS917618 EZO917618 FJK917618 FTG917618 GDC917618 GMY917618 GWU917618 HGQ917618 HQM917618 IAI917618 IKE917618 IUA917618 JDW917618 JNS917618 JXO917618 KHK917618 KRG917618 LBC917618 LKY917618 LUU917618 MEQ917618 MOM917618 MYI917618 NIE917618 NSA917618 OBW917618 OLS917618 OVO917618 PFK917618 PPG917618 PZC917618 QIY917618 QSU917618 RCQ917618 RMM917618 RWI917618 SGE917618 SQA917618 SZW917618 TJS917618 TTO917618 UDK917618 UNG917618 UXC917618 VGY917618 VQU917618 WAQ917618 WKM917618 WUI917618 HW983154 RS983154 ABO983154 ALK983154 AVG983154 BFC983154 BOY983154 BYU983154 CIQ983154 CSM983154 DCI983154 DME983154 DWA983154 EFW983154 EPS983154 EZO983154 FJK983154 FTG983154 GDC983154 GMY983154 GWU983154 HGQ983154 HQM983154 IAI983154 IKE983154 IUA983154 JDW983154 JNS983154 JXO983154 KHK983154 KRG983154 LBC983154 LKY983154 LUU983154 MEQ983154 MOM983154 MYI983154 NIE983154 NSA983154 OBW983154 OLS983154 OVO983154 PFK983154 PPG983154 PZC983154 QIY983154 QSU983154 RCQ983154 RMM983154 RWI983154 SGE983154 SQA983154 SZW983154 TJS983154 TTO983154 UDK983154 UNG983154 UXC983154 VGY983154 VQU983154 WAQ983154 WKM983154 WUI983154 E983154 E917618 E852082 E786546 E721010 E655474 E589938 E524402 E458866 E393330 E327794 E262258 E196722 E131186 E65650 E983159 E917623 E852087 E786551 E721015 E655479 E589943 E524407 E458871 E393335 E327799 E262263 E196727 E131191 E65655 E983148 E917612 E852076 E786540 E721004 E655468 E589932 E524396 E458860 E393324 E327788 E262252 E196716 E131180" xr:uid="{00000000-0002-0000-0400-000000000000}">
      <formula1>"Yes,No"</formula1>
    </dataValidation>
  </dataValidations>
  <pageMargins left="0.7" right="0.7" top="0.75" bottom="0.75" header="0.3" footer="0.3"/>
  <pageSetup orientation="portrait" horizontalDpi="4294967293" r:id="rId1"/>
  <ignoredErrors>
    <ignoredError sqref="E119 G215" formula="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N159"/>
  <sheetViews>
    <sheetView showGridLines="0" zoomScale="80" zoomScaleNormal="80" workbookViewId="0">
      <pane xSplit="1" ySplit="3" topLeftCell="B4" activePane="bottomRight" state="frozen"/>
      <selection pane="topRight" activeCell="B1" sqref="B1"/>
      <selection pane="bottomLeft" activeCell="A4" sqref="A4"/>
      <selection pane="bottomRight" activeCell="H24" sqref="H24"/>
    </sheetView>
  </sheetViews>
  <sheetFormatPr baseColWidth="10" defaultColWidth="9.6640625" defaultRowHeight="15"/>
  <cols>
    <col min="1" max="1" width="2.6640625" customWidth="1"/>
    <col min="2" max="2" width="69.6640625" customWidth="1"/>
    <col min="3" max="4" width="15.6640625" customWidth="1"/>
    <col min="5" max="5" width="48.1640625" customWidth="1"/>
    <col min="6" max="7" width="13.6640625" customWidth="1"/>
    <col min="8" max="11" width="25.83203125" customWidth="1"/>
    <col min="12" max="14" width="13.6640625" customWidth="1"/>
  </cols>
  <sheetData>
    <row r="1" spans="2:11" ht="16" thickBot="1">
      <c r="D1" s="65"/>
      <c r="F1" s="66"/>
    </row>
    <row r="2" spans="2:11" ht="30" customHeight="1" thickBot="1">
      <c r="B2" s="93" t="s">
        <v>216</v>
      </c>
      <c r="C2" s="69"/>
      <c r="D2" s="94"/>
      <c r="E2" s="70"/>
      <c r="F2" s="66"/>
      <c r="G2" s="328"/>
      <c r="H2" s="328"/>
      <c r="I2" s="328"/>
      <c r="J2" s="328"/>
      <c r="K2" s="328"/>
    </row>
    <row r="3" spans="2:11" ht="19" thickBot="1">
      <c r="B3" s="95" t="s">
        <v>452</v>
      </c>
      <c r="C3" s="96"/>
      <c r="D3" s="97"/>
      <c r="E3" s="104"/>
      <c r="F3" s="66"/>
      <c r="G3" s="328"/>
      <c r="H3" s="328"/>
      <c r="I3" s="328"/>
      <c r="J3" s="328"/>
      <c r="K3" s="328"/>
    </row>
    <row r="4" spans="2:11" ht="16" thickBot="1">
      <c r="D4" s="65"/>
      <c r="F4" s="66"/>
    </row>
    <row r="5" spans="2:11" ht="35" thickBot="1">
      <c r="B5" s="118" t="str">
        <f>Inputs!E23</f>
        <v>Generation Equipment</v>
      </c>
      <c r="C5" s="108" t="s">
        <v>0</v>
      </c>
      <c r="D5" s="109" t="s">
        <v>95</v>
      </c>
      <c r="E5" s="99" t="s">
        <v>163</v>
      </c>
    </row>
    <row r="6" spans="2:11" ht="16">
      <c r="B6" s="730" t="s">
        <v>96</v>
      </c>
      <c r="C6" s="731">
        <v>0</v>
      </c>
      <c r="D6" s="141">
        <v>1</v>
      </c>
      <c r="E6" s="317" t="s">
        <v>19</v>
      </c>
    </row>
    <row r="7" spans="2:11" ht="16">
      <c r="B7" s="730" t="s">
        <v>96</v>
      </c>
      <c r="C7" s="731">
        <v>0</v>
      </c>
      <c r="D7" s="141">
        <v>1</v>
      </c>
      <c r="E7" s="317" t="s">
        <v>19</v>
      </c>
    </row>
    <row r="8" spans="2:11" ht="16">
      <c r="B8" s="730" t="s">
        <v>96</v>
      </c>
      <c r="C8" s="731">
        <v>0</v>
      </c>
      <c r="D8" s="141">
        <v>1</v>
      </c>
      <c r="E8" s="317" t="s">
        <v>19</v>
      </c>
    </row>
    <row r="9" spans="2:11" ht="16">
      <c r="B9" s="730" t="s">
        <v>96</v>
      </c>
      <c r="C9" s="731">
        <v>0</v>
      </c>
      <c r="D9" s="141">
        <v>1</v>
      </c>
      <c r="E9" s="317" t="s">
        <v>19</v>
      </c>
    </row>
    <row r="10" spans="2:11" ht="16">
      <c r="B10" s="730" t="s">
        <v>96</v>
      </c>
      <c r="C10" s="731">
        <v>0</v>
      </c>
      <c r="D10" s="141">
        <v>1</v>
      </c>
      <c r="E10" s="317" t="s">
        <v>19</v>
      </c>
    </row>
    <row r="11" spans="2:11" ht="16">
      <c r="B11" s="730" t="s">
        <v>96</v>
      </c>
      <c r="C11" s="731">
        <v>0</v>
      </c>
      <c r="D11" s="141">
        <v>1</v>
      </c>
      <c r="E11" s="317" t="s">
        <v>19</v>
      </c>
    </row>
    <row r="12" spans="2:11" ht="16">
      <c r="B12" s="730" t="s">
        <v>96</v>
      </c>
      <c r="C12" s="731">
        <v>0</v>
      </c>
      <c r="D12" s="141">
        <v>1</v>
      </c>
      <c r="E12" s="317" t="s">
        <v>19</v>
      </c>
    </row>
    <row r="13" spans="2:11" ht="16">
      <c r="B13" s="730" t="s">
        <v>96</v>
      </c>
      <c r="C13" s="731">
        <v>0</v>
      </c>
      <c r="D13" s="141">
        <v>1</v>
      </c>
      <c r="E13" s="317" t="s">
        <v>19</v>
      </c>
    </row>
    <row r="14" spans="2:11" ht="16">
      <c r="B14" s="730" t="s">
        <v>96</v>
      </c>
      <c r="C14" s="731">
        <v>0</v>
      </c>
      <c r="D14" s="141">
        <v>1</v>
      </c>
      <c r="E14" s="317" t="s">
        <v>19</v>
      </c>
    </row>
    <row r="15" spans="2:11" ht="16">
      <c r="B15" s="142" t="s">
        <v>96</v>
      </c>
      <c r="C15" s="143">
        <v>0</v>
      </c>
      <c r="D15" s="141">
        <v>1</v>
      </c>
      <c r="E15" s="317" t="s">
        <v>19</v>
      </c>
    </row>
    <row r="16" spans="2:11" ht="16">
      <c r="B16" s="142" t="s">
        <v>96</v>
      </c>
      <c r="C16" s="143">
        <v>0</v>
      </c>
      <c r="D16" s="141">
        <v>1</v>
      </c>
      <c r="E16" s="317" t="s">
        <v>19</v>
      </c>
    </row>
    <row r="17" spans="2:5" ht="16">
      <c r="B17" s="142" t="s">
        <v>96</v>
      </c>
      <c r="C17" s="143">
        <v>0</v>
      </c>
      <c r="D17" s="141">
        <v>1</v>
      </c>
      <c r="E17" s="317" t="s">
        <v>19</v>
      </c>
    </row>
    <row r="18" spans="2:5" ht="16">
      <c r="B18" s="142" t="s">
        <v>96</v>
      </c>
      <c r="C18" s="143">
        <v>0</v>
      </c>
      <c r="D18" s="141">
        <v>1</v>
      </c>
      <c r="E18" s="317" t="s">
        <v>19</v>
      </c>
    </row>
    <row r="19" spans="2:5" ht="16">
      <c r="B19" s="142" t="s">
        <v>96</v>
      </c>
      <c r="C19" s="143">
        <v>0</v>
      </c>
      <c r="D19" s="141">
        <v>1</v>
      </c>
      <c r="E19" s="317" t="s">
        <v>19</v>
      </c>
    </row>
    <row r="20" spans="2:5" ht="16">
      <c r="B20" s="142" t="s">
        <v>96</v>
      </c>
      <c r="C20" s="143">
        <v>0</v>
      </c>
      <c r="D20" s="141">
        <v>1</v>
      </c>
      <c r="E20" s="317" t="s">
        <v>19</v>
      </c>
    </row>
    <row r="21" spans="2:5" ht="16">
      <c r="B21" s="142" t="s">
        <v>96</v>
      </c>
      <c r="C21" s="143">
        <v>0</v>
      </c>
      <c r="D21" s="141">
        <v>1</v>
      </c>
      <c r="E21" s="317" t="s">
        <v>19</v>
      </c>
    </row>
    <row r="22" spans="2:5" ht="16">
      <c r="B22" s="142" t="s">
        <v>96</v>
      </c>
      <c r="C22" s="143">
        <v>0</v>
      </c>
      <c r="D22" s="141">
        <v>1</v>
      </c>
      <c r="E22" s="317" t="s">
        <v>19</v>
      </c>
    </row>
    <row r="23" spans="2:5" ht="16">
      <c r="B23" s="142" t="s">
        <v>96</v>
      </c>
      <c r="C23" s="143">
        <v>0</v>
      </c>
      <c r="D23" s="141">
        <v>1</v>
      </c>
      <c r="E23" s="317" t="s">
        <v>19</v>
      </c>
    </row>
    <row r="24" spans="2:5" ht="16">
      <c r="B24" s="142" t="s">
        <v>96</v>
      </c>
      <c r="C24" s="143">
        <v>0</v>
      </c>
      <c r="D24" s="141">
        <v>1</v>
      </c>
      <c r="E24" s="317" t="s">
        <v>19</v>
      </c>
    </row>
    <row r="25" spans="2:5" ht="17" thickBot="1">
      <c r="B25" s="144" t="s">
        <v>96</v>
      </c>
      <c r="C25" s="145">
        <v>0</v>
      </c>
      <c r="D25" s="146">
        <v>1</v>
      </c>
      <c r="E25" s="317" t="s">
        <v>19</v>
      </c>
    </row>
    <row r="26" spans="2:5" ht="30" customHeight="1" thickTop="1">
      <c r="B26" s="105" t="s">
        <v>167</v>
      </c>
      <c r="C26" s="106">
        <f>SUM(C6:C25)</f>
        <v>0</v>
      </c>
      <c r="D26" s="77" t="e">
        <f>SUMPRODUCT(C6:C25,D6:D25)/C26</f>
        <v>#DIV/0!</v>
      </c>
      <c r="E26" s="107"/>
    </row>
    <row r="27" spans="2:5" ht="16.5" customHeight="1">
      <c r="B27" s="113"/>
      <c r="C27" s="114"/>
      <c r="D27" s="100"/>
      <c r="E27" s="25"/>
    </row>
    <row r="28" spans="2:5" ht="30" customHeight="1">
      <c r="B28" s="74" t="s">
        <v>97</v>
      </c>
      <c r="C28" s="114"/>
      <c r="D28" s="100"/>
      <c r="E28" s="25"/>
    </row>
    <row r="29" spans="2:5" s="14" customFormat="1" ht="17" thickBot="1">
      <c r="B29" s="115"/>
      <c r="C29" s="116"/>
      <c r="D29" s="117"/>
      <c r="E29" s="112"/>
    </row>
    <row r="30" spans="2:5" ht="30" customHeight="1" thickBot="1">
      <c r="B30" s="118" t="str">
        <f>Inputs!E24</f>
        <v>Balance of Plant</v>
      </c>
      <c r="C30" s="108" t="s">
        <v>0</v>
      </c>
      <c r="D30" s="109" t="s">
        <v>95</v>
      </c>
      <c r="E30" s="99" t="s">
        <v>163</v>
      </c>
    </row>
    <row r="31" spans="2:5" ht="16">
      <c r="B31" s="730" t="s">
        <v>96</v>
      </c>
      <c r="C31" s="731">
        <v>0</v>
      </c>
      <c r="D31" s="141">
        <v>1</v>
      </c>
      <c r="E31" s="317" t="s">
        <v>19</v>
      </c>
    </row>
    <row r="32" spans="2:5" ht="16">
      <c r="B32" s="730" t="s">
        <v>96</v>
      </c>
      <c r="C32" s="731">
        <v>0</v>
      </c>
      <c r="D32" s="732">
        <v>1</v>
      </c>
      <c r="E32" s="733" t="s">
        <v>19</v>
      </c>
    </row>
    <row r="33" spans="2:5" ht="16">
      <c r="B33" s="730" t="s">
        <v>96</v>
      </c>
      <c r="C33" s="731">
        <v>0</v>
      </c>
      <c r="D33" s="732">
        <v>1</v>
      </c>
      <c r="E33" s="733" t="s">
        <v>19</v>
      </c>
    </row>
    <row r="34" spans="2:5" ht="16">
      <c r="B34" s="730" t="s">
        <v>96</v>
      </c>
      <c r="C34" s="731">
        <v>0</v>
      </c>
      <c r="D34" s="732">
        <v>1</v>
      </c>
      <c r="E34" s="733" t="s">
        <v>19</v>
      </c>
    </row>
    <row r="35" spans="2:5" ht="16">
      <c r="B35" s="730" t="s">
        <v>96</v>
      </c>
      <c r="C35" s="731">
        <v>0</v>
      </c>
      <c r="D35" s="732">
        <v>1</v>
      </c>
      <c r="E35" s="317" t="s">
        <v>19</v>
      </c>
    </row>
    <row r="36" spans="2:5" ht="16">
      <c r="B36" s="730" t="s">
        <v>96</v>
      </c>
      <c r="C36" s="731">
        <v>0</v>
      </c>
      <c r="D36" s="732">
        <v>1</v>
      </c>
      <c r="E36" s="317" t="s">
        <v>19</v>
      </c>
    </row>
    <row r="37" spans="2:5" ht="16">
      <c r="B37" s="730" t="s">
        <v>96</v>
      </c>
      <c r="C37" s="731">
        <v>0</v>
      </c>
      <c r="D37" s="732">
        <v>1</v>
      </c>
      <c r="E37" s="317" t="s">
        <v>19</v>
      </c>
    </row>
    <row r="38" spans="2:5" ht="16">
      <c r="B38" s="730" t="s">
        <v>96</v>
      </c>
      <c r="C38" s="731">
        <v>0</v>
      </c>
      <c r="D38" s="732">
        <v>1</v>
      </c>
      <c r="E38" s="317" t="s">
        <v>19</v>
      </c>
    </row>
    <row r="39" spans="2:5" ht="16">
      <c r="B39" s="730" t="s">
        <v>96</v>
      </c>
      <c r="C39" s="731">
        <v>0</v>
      </c>
      <c r="D39" s="732">
        <v>1</v>
      </c>
      <c r="E39" s="317" t="s">
        <v>19</v>
      </c>
    </row>
    <row r="40" spans="2:5" ht="16">
      <c r="B40" s="730" t="s">
        <v>96</v>
      </c>
      <c r="C40" s="731">
        <v>0</v>
      </c>
      <c r="D40" s="732">
        <v>1</v>
      </c>
      <c r="E40" s="733" t="s">
        <v>19</v>
      </c>
    </row>
    <row r="41" spans="2:5" ht="16">
      <c r="B41" s="142" t="s">
        <v>96</v>
      </c>
      <c r="C41" s="143">
        <v>0</v>
      </c>
      <c r="D41" s="732">
        <v>1</v>
      </c>
      <c r="E41" s="317" t="s">
        <v>19</v>
      </c>
    </row>
    <row r="42" spans="2:5" ht="16">
      <c r="B42" s="142" t="s">
        <v>96</v>
      </c>
      <c r="C42" s="143">
        <v>0</v>
      </c>
      <c r="D42" s="732">
        <v>1</v>
      </c>
      <c r="E42" s="317" t="s">
        <v>19</v>
      </c>
    </row>
    <row r="43" spans="2:5" ht="16">
      <c r="B43" s="142" t="s">
        <v>96</v>
      </c>
      <c r="C43" s="143">
        <v>0</v>
      </c>
      <c r="D43" s="141">
        <v>1</v>
      </c>
      <c r="E43" s="317" t="s">
        <v>19</v>
      </c>
    </row>
    <row r="44" spans="2:5" ht="16">
      <c r="B44" s="142" t="s">
        <v>96</v>
      </c>
      <c r="C44" s="143">
        <v>0</v>
      </c>
      <c r="D44" s="141">
        <v>1</v>
      </c>
      <c r="E44" s="317" t="s">
        <v>19</v>
      </c>
    </row>
    <row r="45" spans="2:5" ht="16">
      <c r="B45" s="142" t="s">
        <v>96</v>
      </c>
      <c r="C45" s="143">
        <v>0</v>
      </c>
      <c r="D45" s="141">
        <v>1</v>
      </c>
      <c r="E45" s="317" t="s">
        <v>19</v>
      </c>
    </row>
    <row r="46" spans="2:5" ht="16">
      <c r="B46" s="142" t="s">
        <v>96</v>
      </c>
      <c r="C46" s="143">
        <v>0</v>
      </c>
      <c r="D46" s="141">
        <v>1</v>
      </c>
      <c r="E46" s="317" t="s">
        <v>19</v>
      </c>
    </row>
    <row r="47" spans="2:5" ht="16">
      <c r="B47" s="142" t="s">
        <v>96</v>
      </c>
      <c r="C47" s="143">
        <v>0</v>
      </c>
      <c r="D47" s="141">
        <v>1</v>
      </c>
      <c r="E47" s="317" t="s">
        <v>19</v>
      </c>
    </row>
    <row r="48" spans="2:5" ht="16">
      <c r="B48" s="142" t="s">
        <v>96</v>
      </c>
      <c r="C48" s="143">
        <v>0</v>
      </c>
      <c r="D48" s="141">
        <v>1</v>
      </c>
      <c r="E48" s="317" t="s">
        <v>19</v>
      </c>
    </row>
    <row r="49" spans="2:5" ht="16">
      <c r="B49" s="142" t="s">
        <v>96</v>
      </c>
      <c r="C49" s="143">
        <v>0</v>
      </c>
      <c r="D49" s="141">
        <v>1</v>
      </c>
      <c r="E49" s="317" t="s">
        <v>19</v>
      </c>
    </row>
    <row r="50" spans="2:5" ht="17" thickBot="1">
      <c r="B50" s="144" t="s">
        <v>96</v>
      </c>
      <c r="C50" s="145">
        <v>0</v>
      </c>
      <c r="D50" s="146">
        <v>1</v>
      </c>
      <c r="E50" s="317" t="s">
        <v>19</v>
      </c>
    </row>
    <row r="51" spans="2:5" ht="30" customHeight="1" thickTop="1">
      <c r="B51" s="105" t="s">
        <v>169</v>
      </c>
      <c r="C51" s="106">
        <f>SUM(C31:C50)</f>
        <v>0</v>
      </c>
      <c r="D51" s="77" t="e">
        <f>SUMPRODUCT(C31:C50,D31:D50)/C51</f>
        <v>#DIV/0!</v>
      </c>
      <c r="E51" s="73"/>
    </row>
    <row r="53" spans="2:5" ht="30" customHeight="1">
      <c r="B53" s="74" t="s">
        <v>97</v>
      </c>
    </row>
    <row r="54" spans="2:5" ht="16" thickBot="1"/>
    <row r="55" spans="2:5" ht="35" thickBot="1">
      <c r="B55" s="67" t="str">
        <f>Inputs!E25</f>
        <v>Interconnection</v>
      </c>
      <c r="C55" s="108" t="s">
        <v>0</v>
      </c>
      <c r="D55" s="109" t="s">
        <v>95</v>
      </c>
      <c r="E55" s="99" t="s">
        <v>163</v>
      </c>
    </row>
    <row r="56" spans="2:5" ht="16">
      <c r="B56" s="734" t="s">
        <v>96</v>
      </c>
      <c r="C56" s="735">
        <v>0</v>
      </c>
      <c r="D56" s="141">
        <v>0.5</v>
      </c>
      <c r="E56" s="317" t="s">
        <v>22</v>
      </c>
    </row>
    <row r="57" spans="2:5" ht="16">
      <c r="B57" s="734" t="s">
        <v>96</v>
      </c>
      <c r="C57" s="735">
        <v>0</v>
      </c>
      <c r="D57" s="141">
        <v>0.5</v>
      </c>
      <c r="E57" s="317" t="s">
        <v>22</v>
      </c>
    </row>
    <row r="58" spans="2:5" ht="16">
      <c r="B58" s="734" t="s">
        <v>96</v>
      </c>
      <c r="C58" s="735">
        <v>0</v>
      </c>
      <c r="D58" s="141">
        <v>0.5</v>
      </c>
      <c r="E58" s="317" t="s">
        <v>22</v>
      </c>
    </row>
    <row r="59" spans="2:5" ht="16">
      <c r="B59" s="734" t="s">
        <v>96</v>
      </c>
      <c r="C59" s="735">
        <v>0</v>
      </c>
      <c r="D59" s="141">
        <v>0.5</v>
      </c>
      <c r="E59" s="317" t="s">
        <v>22</v>
      </c>
    </row>
    <row r="60" spans="2:5" ht="16">
      <c r="B60" s="318" t="s">
        <v>96</v>
      </c>
      <c r="C60" s="319">
        <v>0</v>
      </c>
      <c r="D60" s="141">
        <v>0.5</v>
      </c>
      <c r="E60" s="317" t="s">
        <v>22</v>
      </c>
    </row>
    <row r="61" spans="2:5" ht="16">
      <c r="B61" s="318" t="s">
        <v>96</v>
      </c>
      <c r="C61" s="319">
        <v>0</v>
      </c>
      <c r="D61" s="141">
        <v>0.5</v>
      </c>
      <c r="E61" s="317" t="s">
        <v>22</v>
      </c>
    </row>
    <row r="62" spans="2:5" ht="16">
      <c r="B62" s="318" t="s">
        <v>96</v>
      </c>
      <c r="C62" s="319">
        <v>0</v>
      </c>
      <c r="D62" s="141">
        <v>0.5</v>
      </c>
      <c r="E62" s="317" t="s">
        <v>22</v>
      </c>
    </row>
    <row r="63" spans="2:5" ht="16">
      <c r="B63" s="318" t="s">
        <v>96</v>
      </c>
      <c r="C63" s="319">
        <v>0</v>
      </c>
      <c r="D63" s="141">
        <v>0.5</v>
      </c>
      <c r="E63" s="317" t="s">
        <v>22</v>
      </c>
    </row>
    <row r="64" spans="2:5" ht="16">
      <c r="B64" s="318" t="s">
        <v>96</v>
      </c>
      <c r="C64" s="319">
        <v>0</v>
      </c>
      <c r="D64" s="141">
        <v>0.5</v>
      </c>
      <c r="E64" s="317" t="s">
        <v>22</v>
      </c>
    </row>
    <row r="65" spans="2:5" ht="16">
      <c r="B65" s="318" t="s">
        <v>96</v>
      </c>
      <c r="C65" s="319">
        <v>0</v>
      </c>
      <c r="D65" s="141">
        <v>0.5</v>
      </c>
      <c r="E65" s="317" t="s">
        <v>22</v>
      </c>
    </row>
    <row r="66" spans="2:5" ht="16">
      <c r="B66" s="318" t="s">
        <v>96</v>
      </c>
      <c r="C66" s="319">
        <v>0</v>
      </c>
      <c r="D66" s="141">
        <v>0.5</v>
      </c>
      <c r="E66" s="317" t="s">
        <v>22</v>
      </c>
    </row>
    <row r="67" spans="2:5" ht="16">
      <c r="B67" s="318" t="s">
        <v>96</v>
      </c>
      <c r="C67" s="319">
        <v>0</v>
      </c>
      <c r="D67" s="141">
        <v>0.5</v>
      </c>
      <c r="E67" s="317" t="s">
        <v>22</v>
      </c>
    </row>
    <row r="68" spans="2:5" ht="16">
      <c r="B68" s="318" t="s">
        <v>96</v>
      </c>
      <c r="C68" s="319">
        <v>0</v>
      </c>
      <c r="D68" s="141">
        <v>0.5</v>
      </c>
      <c r="E68" s="317" t="s">
        <v>22</v>
      </c>
    </row>
    <row r="69" spans="2:5" ht="16">
      <c r="B69" s="318" t="s">
        <v>96</v>
      </c>
      <c r="C69" s="319">
        <v>0</v>
      </c>
      <c r="D69" s="141">
        <v>0.5</v>
      </c>
      <c r="E69" s="317" t="s">
        <v>22</v>
      </c>
    </row>
    <row r="70" spans="2:5" ht="16">
      <c r="B70" s="318" t="s">
        <v>96</v>
      </c>
      <c r="C70" s="319">
        <v>0</v>
      </c>
      <c r="D70" s="141">
        <v>0.5</v>
      </c>
      <c r="E70" s="317" t="s">
        <v>22</v>
      </c>
    </row>
    <row r="71" spans="2:5" ht="16">
      <c r="B71" s="318" t="s">
        <v>96</v>
      </c>
      <c r="C71" s="319">
        <v>0</v>
      </c>
      <c r="D71" s="141">
        <v>0.5</v>
      </c>
      <c r="E71" s="317" t="s">
        <v>22</v>
      </c>
    </row>
    <row r="72" spans="2:5" ht="16">
      <c r="B72" s="318" t="s">
        <v>96</v>
      </c>
      <c r="C72" s="319">
        <v>0</v>
      </c>
      <c r="D72" s="141">
        <v>0.5</v>
      </c>
      <c r="E72" s="317" t="s">
        <v>22</v>
      </c>
    </row>
    <row r="73" spans="2:5" ht="16">
      <c r="B73" s="318" t="s">
        <v>96</v>
      </c>
      <c r="C73" s="319">
        <v>0</v>
      </c>
      <c r="D73" s="141">
        <v>0.5</v>
      </c>
      <c r="E73" s="317" t="s">
        <v>22</v>
      </c>
    </row>
    <row r="74" spans="2:5" ht="16">
      <c r="B74" s="318" t="s">
        <v>96</v>
      </c>
      <c r="C74" s="319">
        <v>0</v>
      </c>
      <c r="D74" s="141">
        <v>0.5</v>
      </c>
      <c r="E74" s="317" t="s">
        <v>22</v>
      </c>
    </row>
    <row r="75" spans="2:5" ht="17" thickBot="1">
      <c r="B75" s="144" t="s">
        <v>96</v>
      </c>
      <c r="C75" s="145">
        <v>0</v>
      </c>
      <c r="D75" s="146">
        <v>0.5</v>
      </c>
      <c r="E75" s="317" t="s">
        <v>22</v>
      </c>
    </row>
    <row r="76" spans="2:5" ht="30" customHeight="1" thickTop="1">
      <c r="B76" s="105" t="s">
        <v>170</v>
      </c>
      <c r="C76" s="106">
        <f>SUM(C56:C75)</f>
        <v>0</v>
      </c>
      <c r="D76" s="77" t="e">
        <f>SUMPRODUCT(C56:C75,D56:D75)/C76</f>
        <v>#DIV/0!</v>
      </c>
      <c r="E76" s="75"/>
    </row>
    <row r="77" spans="2:5" ht="15.75" customHeight="1"/>
    <row r="78" spans="2:5" ht="30" customHeight="1">
      <c r="B78" s="74" t="s">
        <v>97</v>
      </c>
    </row>
    <row r="79" spans="2:5" ht="15.75" customHeight="1" thickBot="1">
      <c r="B79" s="74"/>
    </row>
    <row r="80" spans="2:5" ht="35" thickBot="1">
      <c r="B80" s="67" t="str">
        <f>Inputs!E26</f>
        <v>Development Costs &amp; Fee</v>
      </c>
      <c r="C80" s="108" t="s">
        <v>0</v>
      </c>
      <c r="D80" s="109" t="s">
        <v>95</v>
      </c>
      <c r="E80" s="99" t="s">
        <v>163</v>
      </c>
    </row>
    <row r="81" spans="2:5" ht="16">
      <c r="B81" s="730" t="s">
        <v>96</v>
      </c>
      <c r="C81" s="731">
        <v>0</v>
      </c>
      <c r="D81" s="141">
        <v>1</v>
      </c>
      <c r="E81" s="317" t="s">
        <v>19</v>
      </c>
    </row>
    <row r="82" spans="2:5" ht="16">
      <c r="B82" s="730" t="s">
        <v>96</v>
      </c>
      <c r="C82" s="731">
        <v>0</v>
      </c>
      <c r="D82" s="141">
        <v>1</v>
      </c>
      <c r="E82" s="317" t="s">
        <v>19</v>
      </c>
    </row>
    <row r="83" spans="2:5" ht="16">
      <c r="B83" s="730" t="s">
        <v>96</v>
      </c>
      <c r="C83" s="731">
        <v>0</v>
      </c>
      <c r="D83" s="141">
        <v>1</v>
      </c>
      <c r="E83" s="317" t="s">
        <v>19</v>
      </c>
    </row>
    <row r="84" spans="2:5" ht="16">
      <c r="B84" s="730" t="s">
        <v>96</v>
      </c>
      <c r="C84" s="731">
        <v>0</v>
      </c>
      <c r="D84" s="141">
        <v>1</v>
      </c>
      <c r="E84" s="317" t="s">
        <v>19</v>
      </c>
    </row>
    <row r="85" spans="2:5" ht="16">
      <c r="B85" s="730" t="s">
        <v>96</v>
      </c>
      <c r="C85" s="731">
        <v>0</v>
      </c>
      <c r="D85" s="141">
        <v>1</v>
      </c>
      <c r="E85" s="317" t="s">
        <v>19</v>
      </c>
    </row>
    <row r="86" spans="2:5" ht="16">
      <c r="B86" s="730" t="s">
        <v>96</v>
      </c>
      <c r="C86" s="731">
        <v>0</v>
      </c>
      <c r="D86" s="141">
        <v>1</v>
      </c>
      <c r="E86" s="317" t="s">
        <v>19</v>
      </c>
    </row>
    <row r="87" spans="2:5" ht="16">
      <c r="B87" s="142" t="s">
        <v>96</v>
      </c>
      <c r="C87" s="143">
        <v>0</v>
      </c>
      <c r="D87" s="141">
        <v>1</v>
      </c>
      <c r="E87" s="317" t="s">
        <v>19</v>
      </c>
    </row>
    <row r="88" spans="2:5" ht="16">
      <c r="B88" s="142" t="s">
        <v>96</v>
      </c>
      <c r="C88" s="143">
        <v>0</v>
      </c>
      <c r="D88" s="141">
        <v>1</v>
      </c>
      <c r="E88" s="317" t="s">
        <v>19</v>
      </c>
    </row>
    <row r="89" spans="2:5" ht="16">
      <c r="B89" s="142" t="s">
        <v>96</v>
      </c>
      <c r="C89" s="143">
        <v>0</v>
      </c>
      <c r="D89" s="141">
        <v>1</v>
      </c>
      <c r="E89" s="317" t="s">
        <v>19</v>
      </c>
    </row>
    <row r="90" spans="2:5" ht="16">
      <c r="B90" s="142" t="s">
        <v>96</v>
      </c>
      <c r="C90" s="143">
        <v>0</v>
      </c>
      <c r="D90" s="141">
        <v>1</v>
      </c>
      <c r="E90" s="317" t="s">
        <v>19</v>
      </c>
    </row>
    <row r="91" spans="2:5" ht="16">
      <c r="B91" s="142" t="s">
        <v>96</v>
      </c>
      <c r="C91" s="143">
        <v>0</v>
      </c>
      <c r="D91" s="141">
        <v>1</v>
      </c>
      <c r="E91" s="317" t="s">
        <v>19</v>
      </c>
    </row>
    <row r="92" spans="2:5" ht="16">
      <c r="B92" s="142" t="s">
        <v>96</v>
      </c>
      <c r="C92" s="143">
        <v>0</v>
      </c>
      <c r="D92" s="141">
        <v>1</v>
      </c>
      <c r="E92" s="317" t="s">
        <v>19</v>
      </c>
    </row>
    <row r="93" spans="2:5" ht="16">
      <c r="B93" s="142" t="s">
        <v>96</v>
      </c>
      <c r="C93" s="143">
        <v>0</v>
      </c>
      <c r="D93" s="141">
        <v>1</v>
      </c>
      <c r="E93" s="317" t="s">
        <v>19</v>
      </c>
    </row>
    <row r="94" spans="2:5" ht="16">
      <c r="B94" s="142" t="s">
        <v>96</v>
      </c>
      <c r="C94" s="143">
        <v>0</v>
      </c>
      <c r="D94" s="141">
        <v>1</v>
      </c>
      <c r="E94" s="317" t="s">
        <v>19</v>
      </c>
    </row>
    <row r="95" spans="2:5" ht="16">
      <c r="B95" s="142" t="s">
        <v>96</v>
      </c>
      <c r="C95" s="143">
        <v>0</v>
      </c>
      <c r="D95" s="141">
        <v>1</v>
      </c>
      <c r="E95" s="317" t="s">
        <v>19</v>
      </c>
    </row>
    <row r="96" spans="2:5" ht="16">
      <c r="B96" s="142" t="s">
        <v>96</v>
      </c>
      <c r="C96" s="143">
        <v>0</v>
      </c>
      <c r="D96" s="141">
        <v>1</v>
      </c>
      <c r="E96" s="317" t="s">
        <v>19</v>
      </c>
    </row>
    <row r="97" spans="2:5" ht="16">
      <c r="B97" s="142" t="s">
        <v>96</v>
      </c>
      <c r="C97" s="143">
        <v>0</v>
      </c>
      <c r="D97" s="141">
        <v>1</v>
      </c>
      <c r="E97" s="317" t="s">
        <v>19</v>
      </c>
    </row>
    <row r="98" spans="2:5" ht="16">
      <c r="B98" s="142" t="s">
        <v>96</v>
      </c>
      <c r="C98" s="143">
        <v>0</v>
      </c>
      <c r="D98" s="141">
        <v>1</v>
      </c>
      <c r="E98" s="317" t="s">
        <v>19</v>
      </c>
    </row>
    <row r="99" spans="2:5" ht="16">
      <c r="B99" s="142" t="s">
        <v>96</v>
      </c>
      <c r="C99" s="143">
        <v>0</v>
      </c>
      <c r="D99" s="141">
        <v>1</v>
      </c>
      <c r="E99" s="317" t="s">
        <v>19</v>
      </c>
    </row>
    <row r="100" spans="2:5" ht="17" thickBot="1">
      <c r="B100" s="144" t="s">
        <v>96</v>
      </c>
      <c r="C100" s="145">
        <v>0</v>
      </c>
      <c r="D100" s="146">
        <v>1</v>
      </c>
      <c r="E100" s="317" t="s">
        <v>19</v>
      </c>
    </row>
    <row r="101" spans="2:5" ht="30" customHeight="1" thickTop="1">
      <c r="B101" s="105" t="s">
        <v>174</v>
      </c>
      <c r="C101" s="106">
        <f>SUM(C81:C100)</f>
        <v>0</v>
      </c>
      <c r="D101" s="77" t="e">
        <f>SUMPRODUCT(C81:C100,D81:D100)/C101</f>
        <v>#DIV/0!</v>
      </c>
      <c r="E101" s="75"/>
    </row>
    <row r="102" spans="2:5" ht="15.75" customHeight="1">
      <c r="B102" s="113"/>
      <c r="C102" s="114"/>
      <c r="D102" s="100"/>
      <c r="E102" s="127"/>
    </row>
    <row r="103" spans="2:5" ht="30" customHeight="1">
      <c r="B103" s="74" t="s">
        <v>97</v>
      </c>
      <c r="C103" s="114"/>
      <c r="D103" s="100"/>
      <c r="E103" s="127"/>
    </row>
    <row r="104" spans="2:5" ht="15.75" customHeight="1" thickBot="1">
      <c r="B104" s="113"/>
      <c r="C104" s="114"/>
      <c r="D104" s="100"/>
      <c r="E104" s="127"/>
    </row>
    <row r="105" spans="2:5" ht="30" customHeight="1" thickBot="1">
      <c r="B105" s="67" t="str">
        <f>Inputs!E27</f>
        <v>Reserves &amp; Financing Costs</v>
      </c>
      <c r="C105" s="108" t="s">
        <v>0</v>
      </c>
      <c r="D105" s="109" t="s">
        <v>95</v>
      </c>
      <c r="E105" s="99" t="s">
        <v>163</v>
      </c>
    </row>
    <row r="106" spans="2:5" ht="15.75" customHeight="1">
      <c r="B106" s="105" t="s">
        <v>172</v>
      </c>
      <c r="C106" s="106">
        <f>((C26+C51+C76+C101)*Inputs!$G$62*Inputs!$G$65)</f>
        <v>0</v>
      </c>
      <c r="D106" s="141">
        <v>0</v>
      </c>
      <c r="E106" s="317" t="s">
        <v>23</v>
      </c>
    </row>
    <row r="107" spans="2:5" ht="15.75" customHeight="1">
      <c r="B107" s="71" t="s">
        <v>36</v>
      </c>
      <c r="C107" s="129">
        <f>(C26+C51+C76+C101)*(Inputs!$G$58/12)*(Inputs!$G$57/2)</f>
        <v>0</v>
      </c>
      <c r="D107" s="141">
        <v>0</v>
      </c>
      <c r="E107" s="317" t="s">
        <v>22</v>
      </c>
    </row>
    <row r="108" spans="2:5" ht="15.75" customHeight="1">
      <c r="B108" s="8" t="s">
        <v>48</v>
      </c>
      <c r="C108" s="129">
        <f>Inputs!$G$75</f>
        <v>0</v>
      </c>
      <c r="D108" s="141">
        <v>0</v>
      </c>
      <c r="E108" s="317" t="s">
        <v>22</v>
      </c>
    </row>
    <row r="109" spans="2:5" ht="15.75" customHeight="1" thickBot="1">
      <c r="B109" s="130" t="s">
        <v>173</v>
      </c>
      <c r="C109" s="131">
        <f>Inputs!$Q$81+Inputs!$Q$84</f>
        <v>336531.32449058129</v>
      </c>
      <c r="D109" s="146">
        <v>0</v>
      </c>
      <c r="E109" s="317" t="s">
        <v>23</v>
      </c>
    </row>
    <row r="110" spans="2:5" ht="30.75" customHeight="1" thickTop="1">
      <c r="B110" s="121" t="s">
        <v>137</v>
      </c>
      <c r="C110" s="106">
        <f>SUM(C106:C109)</f>
        <v>336531.32449058129</v>
      </c>
      <c r="D110" s="77">
        <f>SUMPRODUCT(C106:C109,D106:D109)/C110</f>
        <v>0</v>
      </c>
      <c r="E110" s="98"/>
    </row>
    <row r="111" spans="2:5" ht="15.75" customHeight="1">
      <c r="B111" s="110"/>
      <c r="C111" s="128"/>
      <c r="D111" s="111"/>
      <c r="E111" s="112"/>
    </row>
    <row r="112" spans="2:5" ht="30" customHeight="1">
      <c r="B112" s="74" t="s">
        <v>97</v>
      </c>
      <c r="C112" s="128"/>
      <c r="D112" s="111"/>
      <c r="E112" s="112"/>
    </row>
    <row r="113" spans="2:14" ht="15.75" customHeight="1" thickBot="1">
      <c r="B113" s="110"/>
      <c r="C113" s="128"/>
      <c r="D113" s="111"/>
      <c r="E113" s="112"/>
    </row>
    <row r="114" spans="2:14" ht="17" thickBot="1">
      <c r="B114" s="67" t="s">
        <v>168</v>
      </c>
      <c r="C114" s="68"/>
      <c r="D114" s="68"/>
      <c r="E114" s="101" t="s">
        <v>94</v>
      </c>
      <c r="F114" s="102"/>
      <c r="G114" s="102"/>
      <c r="H114" s="102"/>
      <c r="I114" s="102"/>
      <c r="J114" s="102"/>
      <c r="K114" s="102"/>
      <c r="L114" s="102"/>
      <c r="M114" s="102"/>
      <c r="N114" s="103"/>
    </row>
    <row r="115" spans="2:14" ht="35" thickBot="1">
      <c r="B115" s="118" t="s">
        <v>26</v>
      </c>
      <c r="C115" s="108" t="s">
        <v>0</v>
      </c>
      <c r="D115" s="109" t="s">
        <v>171</v>
      </c>
      <c r="E115" s="109" t="s">
        <v>26</v>
      </c>
      <c r="F115" s="109" t="s">
        <v>19</v>
      </c>
      <c r="G115" s="109" t="s">
        <v>130</v>
      </c>
      <c r="H115" s="109" t="s">
        <v>20</v>
      </c>
      <c r="I115" s="109" t="s">
        <v>131</v>
      </c>
      <c r="J115" s="109" t="s">
        <v>132</v>
      </c>
      <c r="K115" s="109" t="s">
        <v>21</v>
      </c>
      <c r="L115" s="109" t="s">
        <v>22</v>
      </c>
      <c r="M115" s="109" t="s">
        <v>133</v>
      </c>
      <c r="N115" s="140" t="s">
        <v>23</v>
      </c>
    </row>
    <row r="116" spans="2:14" ht="15.75" customHeight="1">
      <c r="B116" s="121" t="s">
        <v>162</v>
      </c>
      <c r="C116" s="124">
        <f>C26</f>
        <v>0</v>
      </c>
      <c r="D116" s="138" t="e">
        <f>C26*D26</f>
        <v>#DIV/0!</v>
      </c>
      <c r="E116" s="139" t="s">
        <v>162</v>
      </c>
      <c r="F116" s="124">
        <f>SUMIF($E$5:$E$26,F$115,$C$5:$C$26)</f>
        <v>0</v>
      </c>
      <c r="G116" s="124">
        <f t="shared" ref="G116:N116" si="0">SUMIF($E$5:$E$26,G$115,$C$5:$C$26)</f>
        <v>0</v>
      </c>
      <c r="H116" s="124">
        <f t="shared" si="0"/>
        <v>0</v>
      </c>
      <c r="I116" s="124">
        <f t="shared" si="0"/>
        <v>0</v>
      </c>
      <c r="J116" s="124">
        <f t="shared" si="0"/>
        <v>0</v>
      </c>
      <c r="K116" s="124">
        <f t="shared" si="0"/>
        <v>0</v>
      </c>
      <c r="L116" s="124">
        <f t="shared" si="0"/>
        <v>0</v>
      </c>
      <c r="M116" s="124">
        <f t="shared" si="0"/>
        <v>0</v>
      </c>
      <c r="N116" s="124">
        <f t="shared" si="0"/>
        <v>0</v>
      </c>
    </row>
    <row r="117" spans="2:14" ht="15.75" customHeight="1">
      <c r="B117" s="72" t="s">
        <v>164</v>
      </c>
      <c r="C117" s="119">
        <f>C51</f>
        <v>0</v>
      </c>
      <c r="D117" s="126" t="e">
        <f>C51*D51</f>
        <v>#DIV/0!</v>
      </c>
      <c r="E117" s="136" t="s">
        <v>164</v>
      </c>
      <c r="F117" s="119">
        <f>SUMIF($E$30:$E$51,F$115,$C$30:$C$51)</f>
        <v>0</v>
      </c>
      <c r="G117" s="119">
        <f t="shared" ref="G117:N117" si="1">SUMIF($E$30:$E$51,G$115,$C$30:$C$51)</f>
        <v>0</v>
      </c>
      <c r="H117" s="119">
        <f t="shared" si="1"/>
        <v>0</v>
      </c>
      <c r="I117" s="119">
        <f t="shared" si="1"/>
        <v>0</v>
      </c>
      <c r="J117" s="119">
        <f t="shared" si="1"/>
        <v>0</v>
      </c>
      <c r="K117" s="119">
        <f t="shared" si="1"/>
        <v>0</v>
      </c>
      <c r="L117" s="119">
        <f t="shared" si="1"/>
        <v>0</v>
      </c>
      <c r="M117" s="119">
        <f t="shared" si="1"/>
        <v>0</v>
      </c>
      <c r="N117" s="119">
        <f t="shared" si="1"/>
        <v>0</v>
      </c>
    </row>
    <row r="118" spans="2:14" ht="15.75" customHeight="1">
      <c r="B118" s="72" t="s">
        <v>165</v>
      </c>
      <c r="C118" s="119">
        <f>C76</f>
        <v>0</v>
      </c>
      <c r="D118" s="126" t="e">
        <f>C76*D76</f>
        <v>#DIV/0!</v>
      </c>
      <c r="E118" s="136" t="s">
        <v>165</v>
      </c>
      <c r="F118" s="119">
        <f>SUMIF($E$55:$E$76,F$115,$C$55:$C$76)</f>
        <v>0</v>
      </c>
      <c r="G118" s="119">
        <f t="shared" ref="G118:N118" si="2">SUMIF($E$55:$E$76,G$115,$C$55:$C$76)</f>
        <v>0</v>
      </c>
      <c r="H118" s="119">
        <f t="shared" si="2"/>
        <v>0</v>
      </c>
      <c r="I118" s="119">
        <f t="shared" si="2"/>
        <v>0</v>
      </c>
      <c r="J118" s="119">
        <f t="shared" si="2"/>
        <v>0</v>
      </c>
      <c r="K118" s="119">
        <f t="shared" si="2"/>
        <v>0</v>
      </c>
      <c r="L118" s="119">
        <f t="shared" si="2"/>
        <v>0</v>
      </c>
      <c r="M118" s="119">
        <f t="shared" si="2"/>
        <v>0</v>
      </c>
      <c r="N118" s="119">
        <f t="shared" si="2"/>
        <v>0</v>
      </c>
    </row>
    <row r="119" spans="2:14" ht="15.75" customHeight="1">
      <c r="B119" s="72" t="s">
        <v>166</v>
      </c>
      <c r="C119" s="119">
        <f>C101</f>
        <v>0</v>
      </c>
      <c r="D119" s="126" t="e">
        <f>C101*D101</f>
        <v>#DIV/0!</v>
      </c>
      <c r="E119" s="136" t="s">
        <v>166</v>
      </c>
      <c r="F119" s="119">
        <f>SUMIF($E$80:$E$101,F$115,$C$80:$C$101)</f>
        <v>0</v>
      </c>
      <c r="G119" s="119">
        <f t="shared" ref="G119:N119" si="3">SUMIF($E$80:$E$101,G$115,$C$80:$C$101)</f>
        <v>0</v>
      </c>
      <c r="H119" s="119">
        <f t="shared" si="3"/>
        <v>0</v>
      </c>
      <c r="I119" s="119">
        <f t="shared" si="3"/>
        <v>0</v>
      </c>
      <c r="J119" s="119">
        <f t="shared" si="3"/>
        <v>0</v>
      </c>
      <c r="K119" s="119">
        <f t="shared" si="3"/>
        <v>0</v>
      </c>
      <c r="L119" s="119">
        <f t="shared" si="3"/>
        <v>0</v>
      </c>
      <c r="M119" s="119">
        <f t="shared" si="3"/>
        <v>0</v>
      </c>
      <c r="N119" s="119">
        <f t="shared" si="3"/>
        <v>0</v>
      </c>
    </row>
    <row r="120" spans="2:14" ht="15.75" customHeight="1" thickBot="1">
      <c r="B120" s="122" t="s">
        <v>98</v>
      </c>
      <c r="C120" s="123">
        <f>C110</f>
        <v>336531.32449058129</v>
      </c>
      <c r="D120" s="132">
        <f>C110*D110</f>
        <v>0</v>
      </c>
      <c r="E120" s="137" t="s">
        <v>98</v>
      </c>
      <c r="F120" s="135">
        <f>SUMIF($E$105:$E$110,F$115,$C$105:$C$110)</f>
        <v>0</v>
      </c>
      <c r="G120" s="135">
        <f t="shared" ref="G120:N120" si="4">SUMIF($E$105:$E$110,G$115,$C$105:$C$110)</f>
        <v>0</v>
      </c>
      <c r="H120" s="135">
        <f t="shared" si="4"/>
        <v>0</v>
      </c>
      <c r="I120" s="135">
        <f t="shared" si="4"/>
        <v>0</v>
      </c>
      <c r="J120" s="135">
        <f t="shared" si="4"/>
        <v>0</v>
      </c>
      <c r="K120" s="135">
        <f t="shared" si="4"/>
        <v>0</v>
      </c>
      <c r="L120" s="135">
        <f t="shared" si="4"/>
        <v>0</v>
      </c>
      <c r="M120" s="135">
        <f t="shared" si="4"/>
        <v>0</v>
      </c>
      <c r="N120" s="135">
        <f t="shared" si="4"/>
        <v>336531.32449058129</v>
      </c>
    </row>
    <row r="121" spans="2:14" ht="30" customHeight="1" thickTop="1">
      <c r="B121" s="120" t="s">
        <v>137</v>
      </c>
      <c r="C121" s="125">
        <f>SUM(C116:C120)</f>
        <v>336531.32449058129</v>
      </c>
      <c r="D121" s="125" t="e">
        <f>SUM(D116:D120)</f>
        <v>#DIV/0!</v>
      </c>
      <c r="E121" s="72"/>
      <c r="F121" s="125">
        <f>SUM(F116:F120)</f>
        <v>0</v>
      </c>
      <c r="G121" s="125">
        <f t="shared" ref="G121:N121" si="5">SUM(G116:G120)</f>
        <v>0</v>
      </c>
      <c r="H121" s="125">
        <f t="shared" si="5"/>
        <v>0</v>
      </c>
      <c r="I121" s="125">
        <f t="shared" si="5"/>
        <v>0</v>
      </c>
      <c r="J121" s="125">
        <f t="shared" si="5"/>
        <v>0</v>
      </c>
      <c r="K121" s="125">
        <f t="shared" si="5"/>
        <v>0</v>
      </c>
      <c r="L121" s="125">
        <f t="shared" si="5"/>
        <v>0</v>
      </c>
      <c r="M121" s="125">
        <f t="shared" si="5"/>
        <v>0</v>
      </c>
      <c r="N121" s="125">
        <f t="shared" si="5"/>
        <v>336531.32449058129</v>
      </c>
    </row>
    <row r="122" spans="2:14">
      <c r="B122" s="14"/>
      <c r="C122" s="14"/>
      <c r="D122" s="14"/>
      <c r="E122" s="14"/>
    </row>
    <row r="123" spans="2:14" ht="16">
      <c r="B123" s="254" t="s">
        <v>192</v>
      </c>
      <c r="C123" s="255" t="str">
        <f>Inputs!G84</f>
        <v>Yes</v>
      </c>
    </row>
    <row r="124" spans="2:14" ht="16" thickBot="1">
      <c r="B124" s="329"/>
      <c r="C124" s="329"/>
      <c r="D124" s="329"/>
      <c r="E124" s="329"/>
      <c r="F124" s="329"/>
      <c r="G124" s="329"/>
      <c r="H124" s="329"/>
      <c r="I124" s="329"/>
      <c r="J124" s="329"/>
      <c r="K124" s="329"/>
      <c r="L124" s="329"/>
      <c r="M124" s="329"/>
      <c r="N124" s="329"/>
    </row>
    <row r="125" spans="2:14" ht="16" thickBot="1">
      <c r="D125" s="316"/>
      <c r="E125" s="316"/>
    </row>
    <row r="126" spans="2:14" ht="30" customHeight="1" thickBot="1">
      <c r="B126" s="817" t="s">
        <v>215</v>
      </c>
      <c r="C126" s="818"/>
      <c r="D126" s="818"/>
      <c r="E126" s="819"/>
    </row>
    <row r="127" spans="2:14" ht="16" thickBot="1"/>
    <row r="128" spans="2:14" ht="69" thickBot="1">
      <c r="C128" s="326" t="s">
        <v>252</v>
      </c>
      <c r="D128" s="327" t="s">
        <v>255</v>
      </c>
    </row>
    <row r="129" spans="3:6" ht="16">
      <c r="C129" s="482">
        <f>'Cash Flow'!G2</f>
        <v>1</v>
      </c>
      <c r="D129" s="483">
        <v>5</v>
      </c>
      <c r="F129" s="382"/>
    </row>
    <row r="130" spans="3:6" ht="16">
      <c r="C130" s="484">
        <f>C129+1</f>
        <v>2</v>
      </c>
      <c r="D130" s="485">
        <v>5.0999999999999996</v>
      </c>
      <c r="F130" s="382"/>
    </row>
    <row r="131" spans="3:6" ht="16">
      <c r="C131" s="484">
        <f t="shared" ref="C131:C158" si="6">C130+1</f>
        <v>3</v>
      </c>
      <c r="D131" s="485">
        <v>5.202</v>
      </c>
      <c r="F131" s="382"/>
    </row>
    <row r="132" spans="3:6" ht="16">
      <c r="C132" s="484">
        <f t="shared" si="6"/>
        <v>4</v>
      </c>
      <c r="D132" s="485">
        <v>5.3060400000000003</v>
      </c>
      <c r="F132" s="382"/>
    </row>
    <row r="133" spans="3:6" ht="16">
      <c r="C133" s="484">
        <f t="shared" si="6"/>
        <v>5</v>
      </c>
      <c r="D133" s="485">
        <v>5.4121608000000005</v>
      </c>
      <c r="F133" s="382"/>
    </row>
    <row r="134" spans="3:6" ht="16">
      <c r="C134" s="484">
        <f t="shared" si="6"/>
        <v>6</v>
      </c>
      <c r="D134" s="485">
        <v>5.5204040160000005</v>
      </c>
      <c r="F134" s="382"/>
    </row>
    <row r="135" spans="3:6" ht="16">
      <c r="C135" s="484">
        <f t="shared" si="6"/>
        <v>7</v>
      </c>
      <c r="D135" s="485">
        <v>5.6308120963200006</v>
      </c>
      <c r="E135" s="25"/>
      <c r="F135" s="382"/>
    </row>
    <row r="136" spans="3:6" ht="16">
      <c r="C136" s="484">
        <f t="shared" si="6"/>
        <v>8</v>
      </c>
      <c r="D136" s="485">
        <v>5.7434283382464004</v>
      </c>
      <c r="E136" s="133"/>
      <c r="F136" s="382"/>
    </row>
    <row r="137" spans="3:6" ht="16">
      <c r="C137" s="484">
        <f t="shared" si="6"/>
        <v>9</v>
      </c>
      <c r="D137" s="485">
        <v>5.8582969050113283</v>
      </c>
      <c r="E137" s="134"/>
      <c r="F137" s="382"/>
    </row>
    <row r="138" spans="3:6" ht="16">
      <c r="C138" s="484">
        <f t="shared" si="6"/>
        <v>10</v>
      </c>
      <c r="D138" s="485">
        <v>5.9754628431115551</v>
      </c>
      <c r="E138" s="134"/>
      <c r="F138" s="382"/>
    </row>
    <row r="139" spans="3:6" ht="16">
      <c r="C139" s="484">
        <f t="shared" si="6"/>
        <v>11</v>
      </c>
      <c r="D139" s="485">
        <v>6.094972099973786</v>
      </c>
      <c r="E139" s="134"/>
      <c r="F139" s="382"/>
    </row>
    <row r="140" spans="3:6" ht="16">
      <c r="C140" s="484">
        <f t="shared" si="6"/>
        <v>12</v>
      </c>
      <c r="D140" s="485">
        <v>6.2168715419732621</v>
      </c>
      <c r="E140" s="134"/>
      <c r="F140" s="382"/>
    </row>
    <row r="141" spans="3:6" ht="16">
      <c r="C141" s="484">
        <f t="shared" si="6"/>
        <v>13</v>
      </c>
      <c r="D141" s="485">
        <v>6.3412089728127281</v>
      </c>
      <c r="E141" s="134"/>
      <c r="F141" s="382"/>
    </row>
    <row r="142" spans="3:6" ht="16">
      <c r="C142" s="484">
        <f t="shared" si="6"/>
        <v>14</v>
      </c>
      <c r="D142" s="485">
        <v>6.4680331522689825</v>
      </c>
      <c r="E142" s="134"/>
      <c r="F142" s="382"/>
    </row>
    <row r="143" spans="3:6" ht="16">
      <c r="C143" s="484">
        <f t="shared" si="6"/>
        <v>15</v>
      </c>
      <c r="D143" s="485">
        <v>6.5973938153143621</v>
      </c>
      <c r="E143" s="134"/>
      <c r="F143" s="382"/>
    </row>
    <row r="144" spans="3:6" ht="16">
      <c r="C144" s="484">
        <f t="shared" si="6"/>
        <v>16</v>
      </c>
      <c r="D144" s="485">
        <v>6.7293416916206494</v>
      </c>
      <c r="E144" s="134"/>
      <c r="F144" s="382"/>
    </row>
    <row r="145" spans="3:6" ht="16">
      <c r="C145" s="484">
        <f t="shared" si="6"/>
        <v>17</v>
      </c>
      <c r="D145" s="485">
        <v>6.8639285254530638</v>
      </c>
      <c r="E145" s="134"/>
      <c r="F145" s="382"/>
    </row>
    <row r="146" spans="3:6" ht="16">
      <c r="C146" s="484">
        <f t="shared" si="6"/>
        <v>18</v>
      </c>
      <c r="D146" s="485">
        <v>7.0012070959621253</v>
      </c>
      <c r="E146" s="25"/>
      <c r="F146" s="382"/>
    </row>
    <row r="147" spans="3:6" ht="16">
      <c r="C147" s="484">
        <f t="shared" si="6"/>
        <v>19</v>
      </c>
      <c r="D147" s="485">
        <v>7.1412312378813683</v>
      </c>
      <c r="E147" s="25"/>
      <c r="F147" s="382"/>
    </row>
    <row r="148" spans="3:6" ht="16">
      <c r="C148" s="484">
        <f t="shared" si="6"/>
        <v>20</v>
      </c>
      <c r="D148" s="485">
        <v>7.2840558626389953</v>
      </c>
      <c r="E148" s="25"/>
      <c r="F148" s="382"/>
    </row>
    <row r="149" spans="3:6" ht="16">
      <c r="C149" s="484">
        <f t="shared" si="6"/>
        <v>21</v>
      </c>
      <c r="D149" s="485">
        <v>7.4297369798917758</v>
      </c>
      <c r="F149" s="382"/>
    </row>
    <row r="150" spans="3:6" ht="16">
      <c r="C150" s="484">
        <f t="shared" si="6"/>
        <v>22</v>
      </c>
      <c r="D150" s="485">
        <v>7.5783317194896114</v>
      </c>
      <c r="F150" s="382"/>
    </row>
    <row r="151" spans="3:6" ht="16">
      <c r="C151" s="484">
        <f t="shared" si="6"/>
        <v>23</v>
      </c>
      <c r="D151" s="485">
        <v>7.7298983538794035</v>
      </c>
      <c r="F151" s="382"/>
    </row>
    <row r="152" spans="3:6" ht="16">
      <c r="C152" s="484">
        <f t="shared" si="6"/>
        <v>24</v>
      </c>
      <c r="D152" s="485">
        <v>7.8844963209569912</v>
      </c>
      <c r="F152" s="382"/>
    </row>
    <row r="153" spans="3:6" ht="16">
      <c r="C153" s="484">
        <f t="shared" si="6"/>
        <v>25</v>
      </c>
      <c r="D153" s="485">
        <v>8.0421862473761312</v>
      </c>
      <c r="F153" s="382"/>
    </row>
    <row r="154" spans="3:6" ht="16">
      <c r="C154" s="484">
        <f t="shared" si="6"/>
        <v>26</v>
      </c>
      <c r="D154" s="485">
        <v>8.2030299723236535</v>
      </c>
      <c r="F154" s="382"/>
    </row>
    <row r="155" spans="3:6" ht="16">
      <c r="C155" s="484">
        <f t="shared" si="6"/>
        <v>27</v>
      </c>
      <c r="D155" s="485">
        <v>8.3670905717701274</v>
      </c>
      <c r="F155" s="382"/>
    </row>
    <row r="156" spans="3:6" ht="16">
      <c r="C156" s="484">
        <f t="shared" si="6"/>
        <v>28</v>
      </c>
      <c r="D156" s="485">
        <v>8.5344323832055302</v>
      </c>
      <c r="F156" s="382"/>
    </row>
    <row r="157" spans="3:6" ht="16">
      <c r="C157" s="484">
        <f t="shared" si="6"/>
        <v>29</v>
      </c>
      <c r="D157" s="485">
        <v>8.7051210308696394</v>
      </c>
      <c r="F157" s="382"/>
    </row>
    <row r="158" spans="3:6" ht="16">
      <c r="C158" s="484">
        <f t="shared" si="6"/>
        <v>30</v>
      </c>
      <c r="D158" s="485">
        <v>8.8792234514870323</v>
      </c>
      <c r="F158" s="382"/>
    </row>
    <row r="159" spans="3:6" ht="30" customHeight="1">
      <c r="C159" s="820" t="s">
        <v>217</v>
      </c>
      <c r="D159" s="821"/>
    </row>
  </sheetData>
  <protectedRanges>
    <protectedRange sqref="D129:D158" name="Market Value"/>
    <protectedRange sqref="B6:E25 B31:E50 B56:E75 B81:E100 D106:E109" name="Complex Inputs"/>
  </protectedRanges>
  <mergeCells count="2">
    <mergeCell ref="B126:E126"/>
    <mergeCell ref="C159:D159"/>
  </mergeCells>
  <conditionalFormatting sqref="D106:E110 D6:E26 D56:E76 D116:N121 D81:E101 D31:E51">
    <cfRule type="expression" dxfId="2" priority="1">
      <formula>$C$123="No"</formula>
    </cfRule>
  </conditionalFormatting>
  <conditionalFormatting sqref="B108">
    <cfRule type="expression" dxfId="1" priority="5">
      <formula>#REF!="100% Equity"</formula>
    </cfRule>
  </conditionalFormatting>
  <conditionalFormatting sqref="B108">
    <cfRule type="expression" dxfId="0" priority="6">
      <formula>#REF!="(use dropdown)"</formula>
    </cfRule>
  </conditionalFormatting>
  <dataValidations count="1">
    <dataValidation type="list" allowBlank="1" showInputMessage="1" showErrorMessage="1" sqref="E6:E25 E31:E50 E106:E109 E56:E75 E81:E100" xr:uid="{00000000-0002-0000-0500-000000000000}">
      <formula1>$F$115:$N$115</formula1>
    </dataValidation>
  </dataValidations>
  <hyperlinks>
    <hyperlink ref="B53" location="Inputs!A1" display="Click Here to Return to Inputs Worksheet" xr:uid="{00000000-0004-0000-0500-000000000000}"/>
    <hyperlink ref="B78" location="Inputs!A1" display="Click Here to Return to Inputs Worksheet" xr:uid="{00000000-0004-0000-0500-000001000000}"/>
    <hyperlink ref="B28" location="Inputs!A1" display="Click Here to Return to Inputs Worksheet" xr:uid="{00000000-0004-0000-0500-000002000000}"/>
    <hyperlink ref="B103" location="Inputs!A1" display="Click Here to Return to Inputs Worksheet" xr:uid="{00000000-0004-0000-0500-000003000000}"/>
    <hyperlink ref="B112" location="Inputs!A1" display="Click Here to Return to Inputs Worksheet" xr:uid="{00000000-0004-0000-0500-000004000000}"/>
  </hyperlinks>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Introduction</vt:lpstr>
      <vt:lpstr>Inputs</vt:lpstr>
      <vt:lpstr>Summary Results</vt:lpstr>
      <vt:lpstr>Annual Cash Flows &amp; Returns</vt:lpstr>
      <vt:lpstr>Cash Flow</vt:lpstr>
      <vt:lpstr>Complex Inputs</vt:lpstr>
      <vt:lpstr>Inputs!_ftnref1</vt:lpstr>
      <vt:lpstr>Introduction!Print_Area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CREST Model for Anaerobic Digestion</dc:title>
  <dc:subject>A model to assess project economics, design cost-based incentives, and evaluate the impact of state and federal support structures on renewable energy</dc:subject>
  <dc:creator/>
  <cp:keywords/>
  <dc:description/>
  <cp:lastModifiedBy>Harrison Dreves</cp:lastModifiedBy>
  <cp:lastPrinted>2010-07-30T20:36:23Z</cp:lastPrinted>
  <dcterms:created xsi:type="dcterms:W3CDTF">2010-03-29T19:24:38Z</dcterms:created>
  <dcterms:modified xsi:type="dcterms:W3CDTF">2019-01-21T19:30:39Z</dcterms:modified>
  <cp:category/>
</cp:coreProperties>
</file>